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NHANH\VIRTUAL HOME\BANKING\BÁCH KHOA\BK-20230519T085242Z-001\BK\20, NC4-MT-5.5X10-20221111T040256Z-001\20, NC4-MT-5.5X10\2, DỰ TOÁN\"/>
    </mc:Choice>
  </mc:AlternateContent>
  <bookViews>
    <workbookView xWindow="0" yWindow="0" windowWidth="28800" windowHeight="12030"/>
  </bookViews>
  <sheets>
    <sheet name="NC4-MT-5.5x10" sheetId="1" r:id="rId1"/>
    <sheet name="DL mong" sheetId="2" r:id="rId2"/>
  </sheets>
  <calcPr calcId="162913"/>
</workbook>
</file>

<file path=xl/calcChain.xml><?xml version="1.0" encoding="utf-8"?>
<calcChain xmlns="http://schemas.openxmlformats.org/spreadsheetml/2006/main">
  <c r="M174" i="1" l="1"/>
  <c r="A175" i="1"/>
  <c r="K175" i="1"/>
  <c r="A174" i="1"/>
  <c r="A176" i="1"/>
  <c r="A171" i="1"/>
  <c r="A163" i="1"/>
  <c r="A164" i="1"/>
  <c r="A165" i="1"/>
  <c r="A166" i="1"/>
  <c r="A167" i="1"/>
  <c r="A168" i="1"/>
  <c r="A169" i="1"/>
  <c r="A170" i="1"/>
  <c r="A173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K174" i="1"/>
  <c r="A195" i="1"/>
  <c r="A196" i="1"/>
  <c r="A197" i="1"/>
  <c r="A198" i="1"/>
  <c r="A199" i="1"/>
  <c r="A200" i="1"/>
  <c r="A201" i="1"/>
  <c r="D5" i="2"/>
  <c r="F5" i="2" s="1"/>
  <c r="B5" i="2"/>
  <c r="F4" i="2"/>
  <c r="D4" i="2"/>
  <c r="B4" i="2"/>
  <c r="F3" i="2"/>
  <c r="D3" i="2"/>
  <c r="B3" i="2"/>
  <c r="F2" i="2"/>
  <c r="B2" i="2"/>
  <c r="F1" i="2"/>
  <c r="B1" i="2"/>
  <c r="L208" i="1"/>
  <c r="E208" i="1"/>
  <c r="A208" i="1"/>
  <c r="L207" i="1"/>
  <c r="E207" i="1"/>
  <c r="M207" i="1" s="1"/>
  <c r="A207" i="1"/>
  <c r="L206" i="1"/>
  <c r="A206" i="1"/>
  <c r="L205" i="1"/>
  <c r="E205" i="1"/>
  <c r="A205" i="1"/>
  <c r="A202" i="1"/>
  <c r="K201" i="1"/>
  <c r="G200" i="1"/>
  <c r="K200" i="1" s="1"/>
  <c r="L199" i="1" s="1"/>
  <c r="M199" i="1" s="1"/>
  <c r="K199" i="1"/>
  <c r="L198" i="1"/>
  <c r="K198" i="1"/>
  <c r="K197" i="1"/>
  <c r="G196" i="1"/>
  <c r="K196" i="1" s="1"/>
  <c r="L195" i="1" a="1"/>
  <c r="L195" i="1" s="1"/>
  <c r="K195" i="1"/>
  <c r="K194" i="1"/>
  <c r="K193" i="1"/>
  <c r="K192" i="1"/>
  <c r="L191" i="1" a="1"/>
  <c r="L191" i="1" s="1"/>
  <c r="K191" i="1"/>
  <c r="K190" i="1"/>
  <c r="L189" i="1" a="1"/>
  <c r="L189" i="1" s="1"/>
  <c r="K189" i="1"/>
  <c r="K188" i="1"/>
  <c r="K187" i="1"/>
  <c r="K186" i="1"/>
  <c r="L185" i="1" a="1"/>
  <c r="L185" i="1" s="1"/>
  <c r="K185" i="1"/>
  <c r="L184" i="1" s="1"/>
  <c r="M184" i="1" s="1"/>
  <c r="K184" i="1"/>
  <c r="L183" i="1"/>
  <c r="K183" i="1"/>
  <c r="K182" i="1"/>
  <c r="L181" i="1"/>
  <c r="K181" i="1"/>
  <c r="K180" i="1"/>
  <c r="K179" i="1"/>
  <c r="L178" i="1" a="1"/>
  <c r="L178" i="1" s="1"/>
  <c r="G178" i="1"/>
  <c r="K178" i="1" s="1"/>
  <c r="K177" i="1"/>
  <c r="L176" i="1" a="1"/>
  <c r="L176" i="1" s="1"/>
  <c r="I176" i="1"/>
  <c r="G176" i="1"/>
  <c r="K173" i="1"/>
  <c r="N171" i="1"/>
  <c r="L171" i="1"/>
  <c r="K170" i="1"/>
  <c r="L169" i="1"/>
  <c r="K168" i="1"/>
  <c r="J167" i="1"/>
  <c r="J166" i="1"/>
  <c r="H166" i="1"/>
  <c r="G166" i="1"/>
  <c r="F166" i="1"/>
  <c r="F167" i="1" s="1"/>
  <c r="B166" i="1"/>
  <c r="K165" i="1"/>
  <c r="J164" i="1"/>
  <c r="F164" i="1"/>
  <c r="J163" i="1"/>
  <c r="H163" i="1"/>
  <c r="G164" i="1" s="1"/>
  <c r="K162" i="1"/>
  <c r="A162" i="1"/>
  <c r="L161" i="1" a="1"/>
  <c r="L161" i="1" s="1"/>
  <c r="J161" i="1"/>
  <c r="A161" i="1"/>
  <c r="K160" i="1"/>
  <c r="A160" i="1"/>
  <c r="K159" i="1"/>
  <c r="L158" i="1" a="1"/>
  <c r="L158" i="1" s="1"/>
  <c r="M158" i="1" s="1"/>
  <c r="J158" i="1"/>
  <c r="A158" i="1"/>
  <c r="K157" i="1"/>
  <c r="A157" i="1"/>
  <c r="L156" i="1"/>
  <c r="A156" i="1"/>
  <c r="K155" i="1"/>
  <c r="A155" i="1"/>
  <c r="L154" i="1"/>
  <c r="J154" i="1"/>
  <c r="A154" i="1"/>
  <c r="K153" i="1"/>
  <c r="A153" i="1"/>
  <c r="J152" i="1"/>
  <c r="H152" i="1"/>
  <c r="A152" i="1"/>
  <c r="J151" i="1"/>
  <c r="L150" i="1" a="1"/>
  <c r="L150" i="1" s="1"/>
  <c r="M150" i="1" s="1"/>
  <c r="J150" i="1"/>
  <c r="A150" i="1"/>
  <c r="K149" i="1"/>
  <c r="A149" i="1"/>
  <c r="L148" i="1"/>
  <c r="A148" i="1"/>
  <c r="K147" i="1"/>
  <c r="A147" i="1"/>
  <c r="L146" i="1"/>
  <c r="K146" i="1"/>
  <c r="A146" i="1"/>
  <c r="K145" i="1"/>
  <c r="A145" i="1"/>
  <c r="L144" i="1"/>
  <c r="G144" i="1"/>
  <c r="K144" i="1" s="1"/>
  <c r="A144" i="1"/>
  <c r="K143" i="1"/>
  <c r="L143" i="1" s="1"/>
  <c r="M143" i="1" s="1"/>
  <c r="A143" i="1"/>
  <c r="L142" i="1"/>
  <c r="K142" i="1"/>
  <c r="A142" i="1"/>
  <c r="K141" i="1"/>
  <c r="A141" i="1"/>
  <c r="L140" i="1"/>
  <c r="K140" i="1"/>
  <c r="A140" i="1"/>
  <c r="K139" i="1"/>
  <c r="A139" i="1"/>
  <c r="L138" i="1"/>
  <c r="K138" i="1"/>
  <c r="A138" i="1"/>
  <c r="K137" i="1"/>
  <c r="A137" i="1"/>
  <c r="L136" i="1"/>
  <c r="K136" i="1"/>
  <c r="A136" i="1"/>
  <c r="K135" i="1"/>
  <c r="A135" i="1"/>
  <c r="I133" i="1"/>
  <c r="I134" i="1" s="1"/>
  <c r="K134" i="1" s="1"/>
  <c r="G133" i="1"/>
  <c r="K132" i="1"/>
  <c r="K131" i="1"/>
  <c r="K130" i="1"/>
  <c r="L129" i="1" a="1"/>
  <c r="L129" i="1" s="1"/>
  <c r="G129" i="1"/>
  <c r="K129" i="1" s="1"/>
  <c r="L128" i="1"/>
  <c r="I128" i="1"/>
  <c r="G128" i="1"/>
  <c r="F128" i="1"/>
  <c r="L127" i="1"/>
  <c r="K127" i="1"/>
  <c r="L126" i="1"/>
  <c r="G126" i="1"/>
  <c r="K126" i="1" s="1"/>
  <c r="A126" i="1"/>
  <c r="K125" i="1"/>
  <c r="K124" i="1"/>
  <c r="K123" i="1"/>
  <c r="L122" i="1" a="1"/>
  <c r="L122" i="1" s="1"/>
  <c r="K122" i="1"/>
  <c r="A122" i="1"/>
  <c r="L121" i="1"/>
  <c r="K121" i="1"/>
  <c r="A121" i="1"/>
  <c r="K120" i="1"/>
  <c r="A120" i="1"/>
  <c r="K119" i="1"/>
  <c r="K118" i="1"/>
  <c r="K117" i="1"/>
  <c r="L116" i="1" a="1"/>
  <c r="L116" i="1" s="1"/>
  <c r="M116" i="1" s="1"/>
  <c r="K116" i="1"/>
  <c r="A116" i="1"/>
  <c r="K115" i="1"/>
  <c r="A115" i="1"/>
  <c r="L114" i="1"/>
  <c r="K114" i="1"/>
  <c r="H114" i="1"/>
  <c r="A114" i="1"/>
  <c r="K113" i="1"/>
  <c r="L112" i="1" a="1"/>
  <c r="L112" i="1" s="1"/>
  <c r="H112" i="1"/>
  <c r="K112" i="1" s="1"/>
  <c r="A112" i="1"/>
  <c r="K111" i="1"/>
  <c r="A111" i="1"/>
  <c r="L110" i="1"/>
  <c r="G110" i="1"/>
  <c r="K110" i="1" s="1"/>
  <c r="L109" i="1"/>
  <c r="K109" i="1"/>
  <c r="A109" i="1"/>
  <c r="L108" i="1"/>
  <c r="G108" i="1"/>
  <c r="F108" i="1"/>
  <c r="B108" i="1"/>
  <c r="A108" i="1"/>
  <c r="L107" i="1"/>
  <c r="F107" i="1"/>
  <c r="B107" i="1"/>
  <c r="A107" i="1"/>
  <c r="K106" i="1"/>
  <c r="A106" i="1"/>
  <c r="L105" i="1"/>
  <c r="K105" i="1"/>
  <c r="A105" i="1"/>
  <c r="L104" i="1"/>
  <c r="H104" i="1"/>
  <c r="G104" i="1"/>
  <c r="A104" i="1"/>
  <c r="K103" i="1"/>
  <c r="A103" i="1"/>
  <c r="K102" i="1"/>
  <c r="L101" i="1" a="1"/>
  <c r="L101" i="1" s="1"/>
  <c r="M101" i="1" s="1"/>
  <c r="K101" i="1"/>
  <c r="A101" i="1"/>
  <c r="K100" i="1"/>
  <c r="K99" i="1"/>
  <c r="L98" i="1" a="1"/>
  <c r="L98" i="1" s="1"/>
  <c r="M98" i="1" s="1"/>
  <c r="H98" i="1"/>
  <c r="K98" i="1" s="1"/>
  <c r="A98" i="1"/>
  <c r="K97" i="1"/>
  <c r="A97" i="1"/>
  <c r="K96" i="1"/>
  <c r="L95" i="1"/>
  <c r="M95" i="1" s="1"/>
  <c r="K95" i="1"/>
  <c r="K94" i="1"/>
  <c r="A94" i="1"/>
  <c r="L93" i="1" a="1"/>
  <c r="L93" i="1" s="1"/>
  <c r="M93" i="1" s="1"/>
  <c r="K93" i="1"/>
  <c r="L92" i="1"/>
  <c r="M92" i="1" s="1"/>
  <c r="K92" i="1"/>
  <c r="L91" i="1"/>
  <c r="M91" i="1" s="1"/>
  <c r="K91" i="1"/>
  <c r="K90" i="1"/>
  <c r="L89" i="1" a="1"/>
  <c r="L89" i="1" s="1"/>
  <c r="M89" i="1" s="1"/>
  <c r="I89" i="1"/>
  <c r="G89" i="1"/>
  <c r="L88" i="1"/>
  <c r="M88" i="1" s="1"/>
  <c r="H88" i="1"/>
  <c r="H89" i="1" s="1"/>
  <c r="G88" i="1"/>
  <c r="F88" i="1"/>
  <c r="F89" i="1" s="1"/>
  <c r="L87" i="1"/>
  <c r="M87" i="1" s="1"/>
  <c r="K87" i="1"/>
  <c r="L86" i="1" a="1"/>
  <c r="L86" i="1" s="1"/>
  <c r="M86" i="1" s="1"/>
  <c r="I86" i="1"/>
  <c r="G86" i="1"/>
  <c r="L85" i="1"/>
  <c r="M85" i="1" s="1"/>
  <c r="H85" i="1"/>
  <c r="H86" i="1" s="1"/>
  <c r="G85" i="1"/>
  <c r="F85" i="1"/>
  <c r="F86" i="1" s="1"/>
  <c r="L84" i="1"/>
  <c r="M84" i="1" s="1"/>
  <c r="K84" i="1"/>
  <c r="L83" i="1" a="1"/>
  <c r="L83" i="1" s="1"/>
  <c r="M83" i="1" s="1"/>
  <c r="G83" i="1"/>
  <c r="L82" i="1"/>
  <c r="M82" i="1" s="1"/>
  <c r="I82" i="1"/>
  <c r="I83" i="1" s="1"/>
  <c r="H82" i="1"/>
  <c r="G82" i="1"/>
  <c r="F82" i="1"/>
  <c r="F83" i="1" s="1"/>
  <c r="L81" i="1"/>
  <c r="M81" i="1" s="1"/>
  <c r="K81" i="1"/>
  <c r="L80" i="1"/>
  <c r="M80" i="1" s="1"/>
  <c r="H80" i="1"/>
  <c r="G80" i="1"/>
  <c r="F80" i="1"/>
  <c r="L79" i="1"/>
  <c r="M79" i="1" s="1"/>
  <c r="K79" i="1"/>
  <c r="L78" i="1"/>
  <c r="M78" i="1" s="1"/>
  <c r="K78" i="1"/>
  <c r="K77" i="1"/>
  <c r="D77" i="1"/>
  <c r="A77" i="1"/>
  <c r="L76" i="1"/>
  <c r="M76" i="1" s="1"/>
  <c r="K76" i="1"/>
  <c r="K75" i="1"/>
  <c r="D75" i="1"/>
  <c r="A75" i="1"/>
  <c r="L74" i="1"/>
  <c r="M74" i="1" s="1"/>
  <c r="G74" i="1"/>
  <c r="K74" i="1" s="1"/>
  <c r="A74" i="1"/>
  <c r="K73" i="1"/>
  <c r="D73" i="1"/>
  <c r="A73" i="1"/>
  <c r="I72" i="1"/>
  <c r="K72" i="1" s="1"/>
  <c r="I71" i="1"/>
  <c r="H71" i="1"/>
  <c r="G71" i="1"/>
  <c r="K70" i="1"/>
  <c r="L69" i="1" a="1"/>
  <c r="L69" i="1" s="1"/>
  <c r="M69" i="1" s="1"/>
  <c r="L68" i="1" a="1"/>
  <c r="L68" i="1" s="1"/>
  <c r="M68" i="1" s="1"/>
  <c r="K68" i="1"/>
  <c r="L66" i="1" a="1"/>
  <c r="L66" i="1" s="1"/>
  <c r="M66" i="1" s="1"/>
  <c r="K66" i="1"/>
  <c r="K65" i="1"/>
  <c r="A65" i="1"/>
  <c r="L64" i="1"/>
  <c r="M64" i="1" s="1"/>
  <c r="J64" i="1"/>
  <c r="F64" i="1"/>
  <c r="B64" i="1"/>
  <c r="L63" i="1"/>
  <c r="M63" i="1" s="1"/>
  <c r="J63" i="1"/>
  <c r="F63" i="1"/>
  <c r="B63" i="1"/>
  <c r="L62" i="1"/>
  <c r="M62" i="1" s="1"/>
  <c r="J62" i="1"/>
  <c r="F62" i="1"/>
  <c r="B62" i="1"/>
  <c r="L61" i="1"/>
  <c r="M61" i="1" s="1"/>
  <c r="J61" i="1"/>
  <c r="F61" i="1"/>
  <c r="B61" i="1"/>
  <c r="L60" i="1"/>
  <c r="M60" i="1" s="1"/>
  <c r="J60" i="1"/>
  <c r="F60" i="1"/>
  <c r="B60" i="1"/>
  <c r="L59" i="1"/>
  <c r="M59" i="1" s="1"/>
  <c r="J59" i="1"/>
  <c r="F59" i="1"/>
  <c r="B59" i="1"/>
  <c r="J58" i="1"/>
  <c r="B58" i="1"/>
  <c r="B35" i="1" s="1"/>
  <c r="B19" i="1" s="1"/>
  <c r="L57" i="1" a="1"/>
  <c r="L57" i="1" s="1"/>
  <c r="M57" i="1" s="1"/>
  <c r="J57" i="1"/>
  <c r="F57" i="1"/>
  <c r="B57" i="1"/>
  <c r="L56" i="1"/>
  <c r="M56" i="1" s="1"/>
  <c r="J56" i="1"/>
  <c r="F56" i="1"/>
  <c r="B56" i="1"/>
  <c r="L55" i="1"/>
  <c r="M55" i="1" s="1"/>
  <c r="J55" i="1"/>
  <c r="H55" i="1"/>
  <c r="F55" i="1"/>
  <c r="B55" i="1"/>
  <c r="J54" i="1"/>
  <c r="L53" i="1" a="1"/>
  <c r="L53" i="1" s="1"/>
  <c r="J53" i="1"/>
  <c r="L52" i="1"/>
  <c r="J52" i="1"/>
  <c r="H52" i="1"/>
  <c r="L51" i="1"/>
  <c r="M51" i="1" s="1"/>
  <c r="J51" i="1"/>
  <c r="L50" i="1"/>
  <c r="K50" i="1"/>
  <c r="B50" i="1"/>
  <c r="K49" i="1"/>
  <c r="A49" i="1"/>
  <c r="L48" i="1"/>
  <c r="M48" i="1" s="1"/>
  <c r="J48" i="1"/>
  <c r="J47" i="1"/>
  <c r="I47" i="1"/>
  <c r="I54" i="1" s="1"/>
  <c r="H47" i="1"/>
  <c r="H54" i="1" s="1"/>
  <c r="G47" i="1"/>
  <c r="G54" i="1" s="1"/>
  <c r="F47" i="1"/>
  <c r="F54" i="1" s="1"/>
  <c r="B47" i="1"/>
  <c r="B31" i="1" s="1"/>
  <c r="B15" i="1" s="1"/>
  <c r="L46" i="1" a="1"/>
  <c r="L46" i="1" s="1"/>
  <c r="J46" i="1"/>
  <c r="I46" i="1"/>
  <c r="H46" i="1"/>
  <c r="H30" i="1" s="1"/>
  <c r="H14" i="1" s="1"/>
  <c r="G46" i="1"/>
  <c r="G53" i="1" s="1"/>
  <c r="F46" i="1"/>
  <c r="F53" i="1" s="1"/>
  <c r="B46" i="1"/>
  <c r="B53" i="1" s="1"/>
  <c r="L45" i="1"/>
  <c r="J45" i="1"/>
  <c r="I45" i="1"/>
  <c r="I52" i="1" s="1"/>
  <c r="H45" i="1"/>
  <c r="H29" i="1" s="1"/>
  <c r="H13" i="1" s="1"/>
  <c r="G45" i="1"/>
  <c r="G52" i="1" s="1"/>
  <c r="F45" i="1"/>
  <c r="F29" i="1" s="1"/>
  <c r="B45" i="1"/>
  <c r="B52" i="1" s="1"/>
  <c r="L44" i="1"/>
  <c r="M44" i="1" s="1"/>
  <c r="J44" i="1"/>
  <c r="I44" i="1"/>
  <c r="I28" i="1" s="1"/>
  <c r="H44" i="1"/>
  <c r="H51" i="1" s="1"/>
  <c r="G44" i="1"/>
  <c r="G51" i="1" s="1"/>
  <c r="F44" i="1"/>
  <c r="F51" i="1" s="1"/>
  <c r="B44" i="1"/>
  <c r="B51" i="1" s="1"/>
  <c r="L43" i="1"/>
  <c r="K43" i="1"/>
  <c r="K42" i="1"/>
  <c r="A42" i="1"/>
  <c r="L41" i="1"/>
  <c r="M41" i="1" s="1"/>
  <c r="J41" i="1"/>
  <c r="L40" i="1"/>
  <c r="M40" i="1" s="1"/>
  <c r="J40" i="1"/>
  <c r="L39" i="1"/>
  <c r="M39" i="1" s="1"/>
  <c r="J39" i="1"/>
  <c r="L38" i="1"/>
  <c r="M38" i="1" s="1"/>
  <c r="J38" i="1"/>
  <c r="L37" i="1"/>
  <c r="M37" i="1" s="1"/>
  <c r="J37" i="1"/>
  <c r="L36" i="1"/>
  <c r="M36" i="1" s="1"/>
  <c r="J36" i="1"/>
  <c r="J35" i="1"/>
  <c r="L34" i="1" a="1"/>
  <c r="L34" i="1" s="1"/>
  <c r="M34" i="1" s="1"/>
  <c r="J34" i="1"/>
  <c r="L33" i="1"/>
  <c r="M33" i="1" s="1"/>
  <c r="J33" i="1"/>
  <c r="L32" i="1"/>
  <c r="M32" i="1" s="1"/>
  <c r="J32" i="1"/>
  <c r="H32" i="1"/>
  <c r="H16" i="1" s="1"/>
  <c r="F32" i="1"/>
  <c r="F16" i="1" s="1"/>
  <c r="B32" i="1"/>
  <c r="B16" i="1" s="1"/>
  <c r="L31" i="1"/>
  <c r="J31" i="1"/>
  <c r="F31" i="1"/>
  <c r="F15" i="1" s="1"/>
  <c r="L30" i="1"/>
  <c r="J30" i="1"/>
  <c r="L29" i="1"/>
  <c r="J29" i="1"/>
  <c r="L28" i="1"/>
  <c r="M28" i="1" s="1"/>
  <c r="J28" i="1"/>
  <c r="B28" i="1"/>
  <c r="B12" i="1" s="1"/>
  <c r="L27" i="1"/>
  <c r="K27" i="1"/>
  <c r="B27" i="1"/>
  <c r="B11" i="1" s="1"/>
  <c r="K26" i="1"/>
  <c r="A26" i="1"/>
  <c r="L25" i="1"/>
  <c r="M25" i="1" s="1"/>
  <c r="J25" i="1"/>
  <c r="F25" i="1"/>
  <c r="B25" i="1"/>
  <c r="L24" i="1"/>
  <c r="M24" i="1" s="1"/>
  <c r="J24" i="1"/>
  <c r="F24" i="1"/>
  <c r="B24" i="1"/>
  <c r="L23" i="1"/>
  <c r="M23" i="1" s="1"/>
  <c r="J23" i="1"/>
  <c r="F23" i="1"/>
  <c r="B23" i="1"/>
  <c r="L22" i="1"/>
  <c r="M22" i="1" s="1"/>
  <c r="J22" i="1"/>
  <c r="F22" i="1"/>
  <c r="B22" i="1"/>
  <c r="L21" i="1"/>
  <c r="M21" i="1" s="1"/>
  <c r="J21" i="1"/>
  <c r="F21" i="1"/>
  <c r="B21" i="1"/>
  <c r="L20" i="1"/>
  <c r="M20" i="1" s="1"/>
  <c r="J20" i="1"/>
  <c r="F20" i="1"/>
  <c r="B20" i="1"/>
  <c r="J19" i="1"/>
  <c r="L18" i="1" a="1"/>
  <c r="L18" i="1" s="1"/>
  <c r="M18" i="1" s="1"/>
  <c r="J18" i="1"/>
  <c r="F18" i="1"/>
  <c r="B18" i="1"/>
  <c r="L17" i="1"/>
  <c r="M17" i="1" s="1"/>
  <c r="J17" i="1"/>
  <c r="F17" i="1"/>
  <c r="B17" i="1"/>
  <c r="L16" i="1"/>
  <c r="M16" i="1" s="1"/>
  <c r="J16" i="1"/>
  <c r="L15" i="1"/>
  <c r="J15" i="1"/>
  <c r="L14" i="1"/>
  <c r="J14" i="1"/>
  <c r="L13" i="1"/>
  <c r="J13" i="1"/>
  <c r="L12" i="1"/>
  <c r="M12" i="1" s="1"/>
  <c r="J12" i="1"/>
  <c r="L11" i="1"/>
  <c r="K11" i="1"/>
  <c r="K10" i="1"/>
  <c r="D10" i="1"/>
  <c r="A10" i="1"/>
  <c r="L197" i="1" l="1"/>
  <c r="M197" i="1" s="1"/>
  <c r="L94" i="1"/>
  <c r="M94" i="1" s="1"/>
  <c r="L139" i="1"/>
  <c r="M139" i="1" s="1"/>
  <c r="L141" i="1"/>
  <c r="M141" i="1" s="1"/>
  <c r="L186" i="1" a="1"/>
  <c r="L186" i="1" s="1"/>
  <c r="M186" i="1" s="1"/>
  <c r="L137" i="1"/>
  <c r="M137" i="1" s="1"/>
  <c r="B30" i="1"/>
  <c r="B14" i="1" s="1"/>
  <c r="L182" i="1"/>
  <c r="M182" i="1" s="1"/>
  <c r="G28" i="1"/>
  <c r="G12" i="1" s="1"/>
  <c r="K176" i="1"/>
  <c r="L175" i="1" s="1"/>
  <c r="M175" i="1" s="1"/>
  <c r="I29" i="1"/>
  <c r="I13" i="1" s="1"/>
  <c r="L180" i="1"/>
  <c r="M180" i="1" s="1"/>
  <c r="K88" i="1"/>
  <c r="L188" i="1" a="1"/>
  <c r="L188" i="1" s="1"/>
  <c r="M188" i="1" s="1"/>
  <c r="L190" i="1" a="1"/>
  <c r="L190" i="1" s="1"/>
  <c r="M190" i="1" s="1"/>
  <c r="L135" i="1"/>
  <c r="M135" i="1" s="1"/>
  <c r="L145" i="1"/>
  <c r="M145" i="1" s="1"/>
  <c r="L177" i="1" a="1"/>
  <c r="L177" i="1" s="1"/>
  <c r="M177" i="1" s="1"/>
  <c r="K133" i="1"/>
  <c r="K164" i="1"/>
  <c r="H28" i="1"/>
  <c r="H12" i="1" s="1"/>
  <c r="G31" i="1"/>
  <c r="G15" i="1" s="1"/>
  <c r="I31" i="1"/>
  <c r="I15" i="1" s="1"/>
  <c r="L194" i="1" a="1"/>
  <c r="L194" i="1" s="1"/>
  <c r="M194" i="1" s="1"/>
  <c r="G167" i="1"/>
  <c r="K167" i="1" s="1"/>
  <c r="I51" i="1"/>
  <c r="L75" i="1"/>
  <c r="M75" i="1" s="1"/>
  <c r="G107" i="1"/>
  <c r="K107" i="1" s="1"/>
  <c r="L173" i="1"/>
  <c r="M173" i="1" s="1"/>
  <c r="K108" i="1"/>
  <c r="F30" i="1"/>
  <c r="F14" i="1" s="1"/>
  <c r="K152" i="1"/>
  <c r="G169" i="1"/>
  <c r="K169" i="1" s="1"/>
  <c r="K71" i="1"/>
  <c r="K80" i="1"/>
  <c r="E206" i="1"/>
  <c r="M206" i="1" s="1"/>
  <c r="K54" i="1"/>
  <c r="H53" i="1"/>
  <c r="L97" i="1" a="1"/>
  <c r="L97" i="1" s="1"/>
  <c r="M97" i="1" s="1"/>
  <c r="G158" i="1"/>
  <c r="K158" i="1" s="1"/>
  <c r="G156" i="1" s="1"/>
  <c r="G161" i="1" s="1"/>
  <c r="K161" i="1" s="1"/>
  <c r="L160" i="1" s="1" a="1"/>
  <c r="L160" i="1" s="1"/>
  <c r="M160" i="1" s="1"/>
  <c r="G171" i="1"/>
  <c r="K171" i="1" s="1"/>
  <c r="L170" i="1" s="1"/>
  <c r="M170" i="1" s="1"/>
  <c r="G30" i="1"/>
  <c r="G14" i="1" s="1"/>
  <c r="K47" i="1"/>
  <c r="K89" i="1"/>
  <c r="F28" i="1"/>
  <c r="F12" i="1" s="1"/>
  <c r="K128" i="1"/>
  <c r="K44" i="1"/>
  <c r="B54" i="1"/>
  <c r="K86" i="1"/>
  <c r="K163" i="1"/>
  <c r="G67" i="1"/>
  <c r="M208" i="1"/>
  <c r="L73" i="1"/>
  <c r="M73" i="1" s="1"/>
  <c r="G150" i="1"/>
  <c r="K150" i="1" s="1"/>
  <c r="K82" i="1"/>
  <c r="L115" i="1"/>
  <c r="M115" i="1" s="1"/>
  <c r="K166" i="1"/>
  <c r="G69" i="1"/>
  <c r="G34" i="1" s="1"/>
  <c r="K34" i="1" s="1"/>
  <c r="M205" i="1"/>
  <c r="K46" i="1"/>
  <c r="F13" i="1"/>
  <c r="L111" i="1"/>
  <c r="K51" i="1"/>
  <c r="I12" i="1"/>
  <c r="K12" i="1" s="1"/>
  <c r="K28" i="1"/>
  <c r="L168" i="1"/>
  <c r="M168" i="1" s="1"/>
  <c r="B29" i="1"/>
  <c r="B13" i="1" s="1"/>
  <c r="I30" i="1"/>
  <c r="I14" i="1" s="1"/>
  <c r="G29" i="1"/>
  <c r="G13" i="1" s="1"/>
  <c r="K45" i="1"/>
  <c r="H83" i="1"/>
  <c r="G48" i="1" s="1"/>
  <c r="K85" i="1"/>
  <c r="I53" i="1"/>
  <c r="K53" i="1" s="1"/>
  <c r="G58" i="1"/>
  <c r="K104" i="1"/>
  <c r="L103" i="1" s="1"/>
  <c r="F52" i="1"/>
  <c r="K52" i="1" s="1"/>
  <c r="H31" i="1"/>
  <c r="G18" i="1" l="1"/>
  <c r="K18" i="1" s="1"/>
  <c r="G57" i="1"/>
  <c r="K57" i="1" s="1"/>
  <c r="L120" i="1"/>
  <c r="M120" i="1" s="1"/>
  <c r="L106" i="1"/>
  <c r="M106" i="1" s="1"/>
  <c r="L162" i="1" a="1"/>
  <c r="L162" i="1" s="1"/>
  <c r="M162" i="1" s="1"/>
  <c r="L157" i="1"/>
  <c r="M157" i="1" s="1"/>
  <c r="K156" i="1"/>
  <c r="L155" i="1" s="1"/>
  <c r="M155" i="1" s="1"/>
  <c r="K67" i="1"/>
  <c r="G33" i="1"/>
  <c r="G203" i="1"/>
  <c r="K203" i="1" s="1"/>
  <c r="M204" i="1"/>
  <c r="G151" i="1"/>
  <c r="K151" i="1" s="1"/>
  <c r="L149" i="1" s="1"/>
  <c r="G148" i="1" s="1"/>
  <c r="K29" i="1"/>
  <c r="K14" i="1"/>
  <c r="K69" i="1"/>
  <c r="K48" i="1"/>
  <c r="L42" i="1" s="1"/>
  <c r="M42" i="1" s="1"/>
  <c r="G55" i="1"/>
  <c r="K55" i="1" s="1"/>
  <c r="G32" i="1"/>
  <c r="M103" i="1"/>
  <c r="G37" i="1"/>
  <c r="G202" i="1"/>
  <c r="K202" i="1" s="1"/>
  <c r="K83" i="1"/>
  <c r="L77" i="1" s="1"/>
  <c r="M77" i="1" s="1"/>
  <c r="H15" i="1"/>
  <c r="K15" i="1" s="1"/>
  <c r="K31" i="1"/>
  <c r="K13" i="1"/>
  <c r="K58" i="1"/>
  <c r="G35" i="1"/>
  <c r="K30" i="1"/>
  <c r="M111" i="1"/>
  <c r="G36" i="1"/>
  <c r="G38" i="1" l="1"/>
  <c r="K38" i="1" s="1"/>
  <c r="L201" i="1" a="1"/>
  <c r="L201" i="1" s="1"/>
  <c r="M201" i="1" s="1"/>
  <c r="G39" i="1"/>
  <c r="G62" i="1" s="1"/>
  <c r="K62" i="1" s="1"/>
  <c r="G41" i="1"/>
  <c r="G25" i="1" s="1"/>
  <c r="K25" i="1" s="1"/>
  <c r="M149" i="1"/>
  <c r="K33" i="1"/>
  <c r="G56" i="1"/>
  <c r="K56" i="1" s="1"/>
  <c r="G17" i="1"/>
  <c r="K17" i="1" s="1"/>
  <c r="L65" i="1"/>
  <c r="M65" i="1" s="1"/>
  <c r="K32" i="1"/>
  <c r="G16" i="1"/>
  <c r="K16" i="1" s="1"/>
  <c r="K36" i="1"/>
  <c r="G59" i="1"/>
  <c r="K59" i="1" s="1"/>
  <c r="G20" i="1"/>
  <c r="K20" i="1" s="1"/>
  <c r="G154" i="1"/>
  <c r="K154" i="1" s="1"/>
  <c r="L153" i="1" s="1"/>
  <c r="M153" i="1" s="1"/>
  <c r="K148" i="1"/>
  <c r="L147" i="1" s="1"/>
  <c r="M147" i="1" s="1"/>
  <c r="G40" i="1"/>
  <c r="G19" i="1"/>
  <c r="K19" i="1" s="1"/>
  <c r="K35" i="1"/>
  <c r="G21" i="1"/>
  <c r="K21" i="1" s="1"/>
  <c r="K37" i="1"/>
  <c r="G60" i="1"/>
  <c r="K60" i="1" s="1"/>
  <c r="G22" i="1" l="1"/>
  <c r="K22" i="1" s="1"/>
  <c r="G61" i="1"/>
  <c r="K61" i="1" s="1"/>
  <c r="G64" i="1"/>
  <c r="K64" i="1" s="1"/>
  <c r="K41" i="1"/>
  <c r="G23" i="1"/>
  <c r="K23" i="1" s="1"/>
  <c r="K39" i="1"/>
  <c r="K40" i="1"/>
  <c r="L26" i="1" s="1"/>
  <c r="M26" i="1" s="1"/>
  <c r="G24" i="1"/>
  <c r="K24" i="1" s="1"/>
  <c r="L10" i="1" s="1"/>
  <c r="M10" i="1" s="1"/>
  <c r="G63" i="1"/>
  <c r="K63" i="1" s="1"/>
  <c r="L49" i="1" s="1"/>
  <c r="M49" i="1" s="1"/>
  <c r="M96" i="1"/>
  <c r="M9" i="1" l="1"/>
  <c r="M209" i="1" s="1"/>
  <c r="M210" i="1" s="1"/>
</calcChain>
</file>

<file path=xl/sharedStrings.xml><?xml version="1.0" encoding="utf-8"?>
<sst xmlns="http://schemas.openxmlformats.org/spreadsheetml/2006/main" count="191" uniqueCount="141">
  <si>
    <t xml:space="preserve">KHÁI TOÁN </t>
  </si>
  <si>
    <t>Công trình: Nhà cấp 4</t>
  </si>
  <si>
    <t>Mã số:</t>
  </si>
  <si>
    <t>NC4-MT-5,5x10</t>
  </si>
  <si>
    <t>STT</t>
  </si>
  <si>
    <t>HẠNG MỤC</t>
  </si>
  <si>
    <t>ĐƠN VỊ TÍNH</t>
  </si>
  <si>
    <t>ĐƠN GIÁ VẬT TƯ (Tham khảo)</t>
  </si>
  <si>
    <t>ĐƠN GIÁ NHÂN CÔNG/MÁY (Tham khảo)</t>
  </si>
  <si>
    <t>SỐ LƯỢNG (CÁI)</t>
  </si>
  <si>
    <t>KÍCH THƯỚC (dài x rộng x cao x hs)</t>
  </si>
  <si>
    <t>KHỐI LƯỢNG ĐƠN VỊ</t>
  </si>
  <si>
    <t>KHỐI LƯỢNG</t>
  </si>
  <si>
    <t>THÀNH TIỀN</t>
  </si>
  <si>
    <t>I. PHẦN XÂY DỰNG THÔ</t>
  </si>
  <si>
    <t>Xi măng</t>
  </si>
  <si>
    <t>Kg</t>
  </si>
  <si>
    <t>Cát</t>
  </si>
  <si>
    <r>
      <rPr>
        <sz val="12"/>
        <color theme="1"/>
        <rFont val="Times New Roman"/>
      </rPr>
      <t>m</t>
    </r>
    <r>
      <rPr>
        <vertAlign val="superscript"/>
        <sz val="12"/>
        <color theme="1"/>
        <rFont val="Times New Roman"/>
      </rPr>
      <t>3</t>
    </r>
  </si>
  <si>
    <t>Tường xây dày &lt;=30</t>
  </si>
  <si>
    <t>Tường xây dày &lt;=10</t>
  </si>
  <si>
    <t>Diện tích láng nền sân</t>
  </si>
  <si>
    <t>Diện tích láng nền vệ sinh</t>
  </si>
  <si>
    <t>Diện tích láng nền nhà</t>
  </si>
  <si>
    <t>Diện tích trát tường khi ốp gạch</t>
  </si>
  <si>
    <t>Diện tích sơn nước</t>
  </si>
  <si>
    <t>Diện tích chống thấm</t>
  </si>
  <si>
    <t>Đá</t>
  </si>
  <si>
    <r>
      <rPr>
        <sz val="12"/>
        <color theme="1"/>
        <rFont val="Times New Roman"/>
      </rPr>
      <t>m</t>
    </r>
    <r>
      <rPr>
        <vertAlign val="superscript"/>
        <sz val="12"/>
        <color theme="1"/>
        <rFont val="Times New Roman"/>
      </rPr>
      <t>3</t>
    </r>
  </si>
  <si>
    <t>Bê tông lót</t>
  </si>
  <si>
    <t>Bê tông chịu lực</t>
  </si>
  <si>
    <t>Nước</t>
  </si>
  <si>
    <t>Lít</t>
  </si>
  <si>
    <t>Gạch</t>
  </si>
  <si>
    <t>Viên</t>
  </si>
  <si>
    <t>Xây tường 20</t>
  </si>
  <si>
    <t>Tầng 1-&gt;mái</t>
  </si>
  <si>
    <t>Xây tường 10</t>
  </si>
  <si>
    <t>Bậc thang</t>
  </si>
  <si>
    <t>Tầng 1</t>
  </si>
  <si>
    <t>Tôn sóng vuông, mạ màu, dày 0,45 mm, phủ PU chống nóng</t>
  </si>
  <si>
    <t>m²</t>
  </si>
  <si>
    <t>Xà gồ: Thép hộp mạ kẽm 50x100x2</t>
  </si>
  <si>
    <t>Cây</t>
  </si>
  <si>
    <t>Thép tròn</t>
  </si>
  <si>
    <t>Bê tông móng</t>
  </si>
  <si>
    <t>Mr1+2</t>
  </si>
  <si>
    <t>M/Trục 2</t>
  </si>
  <si>
    <t>M/Trục 3</t>
  </si>
  <si>
    <t>M/Trục 5</t>
  </si>
  <si>
    <t>Cầu thang</t>
  </si>
  <si>
    <t>Cột</t>
  </si>
  <si>
    <t>Dầm</t>
  </si>
  <si>
    <t>Sàn, sê nô, mái</t>
  </si>
  <si>
    <t>Ống BTCT D1000x60 loại 0,5m (đúc sẵn bằng thủ công)</t>
  </si>
  <si>
    <t>cái</t>
  </si>
  <si>
    <t>Hầm tự hoại</t>
  </si>
  <si>
    <t>II. PHẦN HOÀN THIỆN</t>
  </si>
  <si>
    <t>Gạch lát nền 800x800</t>
  </si>
  <si>
    <t>Trệt</t>
  </si>
  <si>
    <t>Trừ bậc thang</t>
  </si>
  <si>
    <t>Trừ WC</t>
  </si>
  <si>
    <t>Sảnh tầng</t>
  </si>
  <si>
    <t>Gạch lát 300x600 nhám (vệ sinh)</t>
  </si>
  <si>
    <t>Vệ sinh chung trệt</t>
  </si>
  <si>
    <t>Vệ sinh phòng ngủ lầu</t>
  </si>
  <si>
    <t>Gạch ốp tường 300x600 (vệ sinh, bếp)</t>
  </si>
  <si>
    <t>Trừ cửa</t>
  </si>
  <si>
    <t>Bếp</t>
  </si>
  <si>
    <t>Gạch lát 400x400 (sân, chỗ để xe)</t>
  </si>
  <si>
    <t>Sân trước</t>
  </si>
  <si>
    <t>Sân sau</t>
  </si>
  <si>
    <t>Gạch vân gỗ trong phòng</t>
  </si>
  <si>
    <t>Phòng ngủ 1</t>
  </si>
  <si>
    <t xml:space="preserve">Đá granite </t>
  </si>
  <si>
    <t>Ngạch cửa</t>
  </si>
  <si>
    <t>Sảnh</t>
  </si>
  <si>
    <t>Bàn đá WC</t>
  </si>
  <si>
    <t>Bàn bếp</t>
  </si>
  <si>
    <t>Tầng trệt-&gt;1</t>
  </si>
  <si>
    <t>Bồn vệ sinh kèm vòi xịt</t>
  </si>
  <si>
    <t>Bộ</t>
  </si>
  <si>
    <t>Lavabo (kèm phụ kiện)</t>
  </si>
  <si>
    <t>Vòi tắm hoa sen nóng lạnh (kèm phụ kiện)</t>
  </si>
  <si>
    <t>Phòng tắm đứng bằng vách kínhcường lực dày 10mm</t>
  </si>
  <si>
    <t xml:space="preserve">Vệ sinh phòng ngủ </t>
  </si>
  <si>
    <t>Chậu rửa chén</t>
  </si>
  <si>
    <t>Bột trét nội thất</t>
  </si>
  <si>
    <t>Sơn lót nội thất</t>
  </si>
  <si>
    <t>Tường, cột, dầm</t>
  </si>
  <si>
    <t>Trần</t>
  </si>
  <si>
    <t>Dạ thang</t>
  </si>
  <si>
    <t>Sơn phủ nội thất</t>
  </si>
  <si>
    <t>Bột trét ngoại thất</t>
  </si>
  <si>
    <t>Sơn lót ngoại thất</t>
  </si>
  <si>
    <t>Sơn phủ ngoại thất</t>
  </si>
  <si>
    <t>Vật tư chống thấm</t>
  </si>
  <si>
    <t>kg</t>
  </si>
  <si>
    <t>Sàn mái bằng</t>
  </si>
  <si>
    <t>Sàn phòng vệ sinh</t>
  </si>
  <si>
    <t>Ống nhựa</t>
  </si>
  <si>
    <t>m</t>
  </si>
  <si>
    <t>Dây điện</t>
  </si>
  <si>
    <t>Cái</t>
  </si>
  <si>
    <t>Cửa đi 2 cánh + VK</t>
  </si>
  <si>
    <t>Cửa ngoài</t>
  </si>
  <si>
    <t>Cửa đi 1 cánh + VK</t>
  </si>
  <si>
    <t>Cửa trong</t>
  </si>
  <si>
    <t>Cửa đi 2 cánh</t>
  </si>
  <si>
    <t>Cửa đi vệ sinh 1 cánh</t>
  </si>
  <si>
    <t>Cửa sổ 2 cánh</t>
  </si>
  <si>
    <t>Cửa sổ 4 cánh</t>
  </si>
  <si>
    <t>Vách kính</t>
  </si>
  <si>
    <t>Vách ngoài</t>
  </si>
  <si>
    <t>Lam, mái trang trí</t>
  </si>
  <si>
    <t>Ngoài nhà</t>
  </si>
  <si>
    <t>Tring nhà</t>
  </si>
  <si>
    <t>Lan can sắt cầu thang</t>
  </si>
  <si>
    <t>Lan can cầu thang</t>
  </si>
  <si>
    <t>Cửa cổng</t>
  </si>
  <si>
    <t>Hàng rào sắt</t>
  </si>
  <si>
    <t>Hàng rào</t>
  </si>
  <si>
    <t>Trần thạch cao</t>
  </si>
  <si>
    <t>Khu vệ sinh</t>
  </si>
  <si>
    <t>Phòng ngủ, khách, bếp</t>
  </si>
  <si>
    <t>III. NHÂN CÔNG/MÁY THI CÔNG</t>
  </si>
  <si>
    <t>Nhân công xây dựng tầng 1</t>
  </si>
  <si>
    <t>R</t>
  </si>
  <si>
    <t>Nhân công xây dựng tầng 2</t>
  </si>
  <si>
    <t>Nhân công xây dựng mái, tường hồi</t>
  </si>
  <si>
    <t>Nhân công xây dựng sân</t>
  </si>
  <si>
    <t>TỔNG CỘNG:</t>
  </si>
  <si>
    <t>End</t>
  </si>
  <si>
    <t>Mr1</t>
  </si>
  <si>
    <t>Mr2</t>
  </si>
  <si>
    <t>M1</t>
  </si>
  <si>
    <t>M2</t>
  </si>
  <si>
    <t>M3</t>
  </si>
  <si>
    <t>Bồn nước Nhựa đứng TM: 2000L-1350mm</t>
  </si>
  <si>
    <t>Gương soi ghép màu Tân An Vinh TAV080B 500mmx700mm</t>
  </si>
  <si>
    <t>Máy nước nóng trực tiếp GD600ESP RS FL ATL: 5500W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</si>
</sst>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#,##0.0000"/>
    <numFmt numFmtId="167" formatCode="_(* #,##0.0000_);_(* \(#,##0.0000\);_(* &quot;-&quot;??_);_(@_)"/>
    <numFmt numFmtId="168" formatCode="#,##0.000"/>
    <numFmt numFmtId="169" formatCode="_(* #,##0.0000_);_(* \(#,##0.0000\);_(* &quot;-&quot;????_);_(@_)"/>
    <numFmt numFmtId="170" formatCode="_(* #,##0.0_);_(* \(#,##0.0\);_(* &quot;-&quot;????_);_(@_)"/>
    <numFmt numFmtId="171" formatCode="_(* #,##0.000_);_(* \(#,##0.000\);_(* &quot;-&quot;????_);_(@_)"/>
    <numFmt numFmtId="172" formatCode="0.000"/>
  </numFmts>
  <fonts count="13">
    <font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b/>
      <sz val="20"/>
      <color theme="1"/>
      <name val="Times New Roman"/>
    </font>
    <font>
      <sz val="20"/>
      <color theme="1"/>
      <name val="Times New Roman"/>
    </font>
    <font>
      <b/>
      <sz val="14"/>
      <color theme="1"/>
      <name val="Times New Roman"/>
    </font>
    <font>
      <sz val="14"/>
      <color theme="1"/>
      <name val="Times New Roman"/>
    </font>
    <font>
      <sz val="11"/>
      <name val="Calibri"/>
    </font>
    <font>
      <b/>
      <i/>
      <sz val="12"/>
      <color theme="1"/>
      <name val="Times New Roman"/>
    </font>
    <font>
      <i/>
      <sz val="12"/>
      <color theme="1"/>
      <name val="Times New Roman"/>
    </font>
    <font>
      <sz val="11"/>
      <color theme="1"/>
      <name val="Calibri"/>
      <scheme val="minor"/>
    </font>
    <font>
      <vertAlign val="superscript"/>
      <sz val="12"/>
      <color theme="1"/>
      <name val="Times New Roman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46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5" fillId="0" borderId="2" xfId="0" applyFont="1" applyBorder="1" applyAlignment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wrapText="1"/>
    </xf>
    <xf numFmtId="0" fontId="5" fillId="0" borderId="6" xfId="0" applyFont="1" applyBorder="1" applyAlignment="1">
      <alignment horizontal="left" vertic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0" xfId="0" applyFont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3" fontId="8" fillId="2" borderId="14" xfId="0" applyNumberFormat="1" applyFont="1" applyFill="1" applyBorder="1" applyAlignment="1">
      <alignment horizontal="right" vertical="center"/>
    </xf>
    <xf numFmtId="0" fontId="8" fillId="2" borderId="14" xfId="0" applyFont="1" applyFill="1" applyBorder="1" applyAlignment="1">
      <alignment vertical="center"/>
    </xf>
    <xf numFmtId="164" fontId="1" fillId="2" borderId="14" xfId="0" applyNumberFormat="1" applyFont="1" applyFill="1" applyBorder="1" applyAlignment="1">
      <alignment vertical="center"/>
    </xf>
    <xf numFmtId="164" fontId="2" fillId="2" borderId="15" xfId="0" applyNumberFormat="1" applyFont="1" applyFill="1" applyBorder="1"/>
    <xf numFmtId="0" fontId="2" fillId="2" borderId="15" xfId="0" applyFont="1" applyFill="1" applyBorder="1"/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wrapText="1"/>
    </xf>
    <xf numFmtId="0" fontId="2" fillId="0" borderId="18" xfId="0" applyFont="1" applyBorder="1" applyAlignment="1">
      <alignment horizontal="center"/>
    </xf>
    <xf numFmtId="164" fontId="2" fillId="0" borderId="18" xfId="0" applyNumberFormat="1" applyFont="1" applyBorder="1"/>
    <xf numFmtId="3" fontId="9" fillId="0" borderId="18" xfId="0" applyNumberFormat="1" applyFont="1" applyBorder="1" applyAlignment="1">
      <alignment horizontal="right"/>
    </xf>
    <xf numFmtId="165" fontId="9" fillId="0" borderId="18" xfId="0" applyNumberFormat="1" applyFont="1" applyBorder="1"/>
    <xf numFmtId="166" fontId="9" fillId="0" borderId="19" xfId="0" applyNumberFormat="1" applyFont="1" applyBorder="1" applyAlignment="1">
      <alignment vertical="center"/>
    </xf>
    <xf numFmtId="166" fontId="2" fillId="0" borderId="19" xfId="0" applyNumberFormat="1" applyFont="1" applyBorder="1" applyAlignment="1">
      <alignment horizontal="right" vertical="center"/>
    </xf>
    <xf numFmtId="3" fontId="2" fillId="0" borderId="20" xfId="0" applyNumberFormat="1" applyFont="1" applyBorder="1" applyAlignment="1">
      <alignment vertical="center"/>
    </xf>
    <xf numFmtId="0" fontId="9" fillId="0" borderId="21" xfId="0" applyFont="1" applyBorder="1" applyAlignment="1">
      <alignment horizontal="right" wrapText="1"/>
    </xf>
    <xf numFmtId="0" fontId="2" fillId="0" borderId="22" xfId="0" applyFont="1" applyBorder="1" applyAlignment="1">
      <alignment horizontal="center" vertical="center"/>
    </xf>
    <xf numFmtId="3" fontId="9" fillId="0" borderId="21" xfId="0" applyNumberFormat="1" applyFont="1" applyBorder="1" applyAlignment="1">
      <alignment horizontal="right" wrapText="1"/>
    </xf>
    <xf numFmtId="0" fontId="2" fillId="0" borderId="19" xfId="0" applyFont="1" applyBorder="1" applyAlignment="1">
      <alignment horizontal="center"/>
    </xf>
    <xf numFmtId="164" fontId="2" fillId="0" borderId="19" xfId="0" applyNumberFormat="1" applyFont="1" applyBorder="1"/>
    <xf numFmtId="3" fontId="9" fillId="0" borderId="19" xfId="0" applyNumberFormat="1" applyFont="1" applyBorder="1" applyAlignment="1">
      <alignment horizontal="right"/>
    </xf>
    <xf numFmtId="165" fontId="9" fillId="0" borderId="19" xfId="0" applyNumberFormat="1" applyFont="1" applyBorder="1"/>
    <xf numFmtId="167" fontId="9" fillId="0" borderId="19" xfId="0" applyNumberFormat="1" applyFont="1" applyBorder="1"/>
    <xf numFmtId="168" fontId="9" fillId="0" borderId="19" xfId="0" applyNumberFormat="1" applyFont="1" applyBorder="1" applyAlignment="1">
      <alignment vertical="center" wrapText="1"/>
    </xf>
    <xf numFmtId="3" fontId="2" fillId="0" borderId="23" xfId="0" applyNumberFormat="1" applyFont="1" applyBorder="1" applyAlignment="1">
      <alignment vertical="center"/>
    </xf>
    <xf numFmtId="168" fontId="9" fillId="0" borderId="19" xfId="0" applyNumberFormat="1" applyFont="1" applyBorder="1" applyAlignment="1">
      <alignment horizontal="right" vertical="center" wrapText="1"/>
    </xf>
    <xf numFmtId="166" fontId="9" fillId="0" borderId="24" xfId="0" applyNumberFormat="1" applyFont="1" applyBorder="1" applyAlignment="1">
      <alignment vertical="center"/>
    </xf>
    <xf numFmtId="165" fontId="9" fillId="0" borderId="19" xfId="0" applyNumberFormat="1" applyFont="1" applyBorder="1" applyAlignment="1">
      <alignment vertical="center"/>
    </xf>
    <xf numFmtId="0" fontId="9" fillId="0" borderId="21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/>
    </xf>
    <xf numFmtId="164" fontId="2" fillId="0" borderId="19" xfId="0" applyNumberFormat="1" applyFont="1" applyBorder="1" applyAlignment="1">
      <alignment vertical="center"/>
    </xf>
    <xf numFmtId="3" fontId="9" fillId="0" borderId="19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wrapText="1"/>
    </xf>
    <xf numFmtId="0" fontId="9" fillId="3" borderId="25" xfId="0" applyFont="1" applyFill="1" applyBorder="1" applyAlignment="1">
      <alignment horizontal="right" wrapText="1"/>
    </xf>
    <xf numFmtId="0" fontId="2" fillId="3" borderId="19" xfId="0" applyFont="1" applyFill="1" applyBorder="1" applyAlignment="1">
      <alignment horizontal="center"/>
    </xf>
    <xf numFmtId="164" fontId="2" fillId="3" borderId="19" xfId="0" applyNumberFormat="1" applyFont="1" applyFill="1" applyBorder="1"/>
    <xf numFmtId="3" fontId="9" fillId="3" borderId="19" xfId="0" applyNumberFormat="1" applyFont="1" applyFill="1" applyBorder="1" applyAlignment="1">
      <alignment horizontal="right"/>
    </xf>
    <xf numFmtId="165" fontId="9" fillId="3" borderId="19" xfId="0" applyNumberFormat="1" applyFont="1" applyFill="1" applyBorder="1"/>
    <xf numFmtId="166" fontId="9" fillId="3" borderId="19" xfId="0" applyNumberFormat="1" applyFont="1" applyFill="1" applyBorder="1" applyAlignment="1">
      <alignment vertical="center"/>
    </xf>
    <xf numFmtId="167" fontId="9" fillId="3" borderId="19" xfId="0" applyNumberFormat="1" applyFont="1" applyFill="1" applyBorder="1"/>
    <xf numFmtId="0" fontId="2" fillId="0" borderId="22" xfId="0" applyFont="1" applyBorder="1" applyAlignment="1">
      <alignment horizontal="center"/>
    </xf>
    <xf numFmtId="43" fontId="9" fillId="0" borderId="19" xfId="0" applyNumberFormat="1" applyFont="1" applyBorder="1"/>
    <xf numFmtId="0" fontId="9" fillId="0" borderId="2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164" fontId="9" fillId="0" borderId="19" xfId="0" applyNumberFormat="1" applyFont="1" applyBorder="1"/>
    <xf numFmtId="0" fontId="9" fillId="0" borderId="0" xfId="0" applyFont="1"/>
    <xf numFmtId="0" fontId="2" fillId="0" borderId="21" xfId="0" applyFont="1" applyBorder="1" applyAlignment="1">
      <alignment horizontal="left" vertical="center" wrapText="1"/>
    </xf>
    <xf numFmtId="164" fontId="2" fillId="0" borderId="19" xfId="0" applyNumberFormat="1" applyFont="1" applyBorder="1" applyAlignment="1">
      <alignment horizontal="center" vertical="center"/>
    </xf>
    <xf numFmtId="165" fontId="9" fillId="0" borderId="19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69" fontId="2" fillId="0" borderId="0" xfId="0" applyNumberFormat="1" applyFont="1"/>
    <xf numFmtId="170" fontId="2" fillId="0" borderId="0" xfId="0" applyNumberFormat="1" applyFont="1"/>
    <xf numFmtId="0" fontId="2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right" wrapText="1"/>
    </xf>
    <xf numFmtId="0" fontId="2" fillId="0" borderId="24" xfId="0" applyFont="1" applyBorder="1" applyAlignment="1">
      <alignment horizontal="center"/>
    </xf>
    <xf numFmtId="164" fontId="2" fillId="0" borderId="24" xfId="0" applyNumberFormat="1" applyFont="1" applyBorder="1"/>
    <xf numFmtId="3" fontId="9" fillId="0" borderId="24" xfId="0" applyNumberFormat="1" applyFont="1" applyBorder="1" applyAlignment="1">
      <alignment horizontal="right"/>
    </xf>
    <xf numFmtId="165" fontId="9" fillId="0" borderId="24" xfId="0" applyNumberFormat="1" applyFont="1" applyBorder="1"/>
    <xf numFmtId="164" fontId="9" fillId="0" borderId="24" xfId="0" applyNumberFormat="1" applyFont="1" applyBorder="1"/>
    <xf numFmtId="166" fontId="2" fillId="0" borderId="24" xfId="0" applyNumberFormat="1" applyFont="1" applyBorder="1" applyAlignment="1">
      <alignment horizontal="right" vertical="center"/>
    </xf>
    <xf numFmtId="3" fontId="2" fillId="0" borderId="28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166" fontId="2" fillId="3" borderId="19" xfId="0" applyNumberFormat="1" applyFont="1" applyFill="1" applyBorder="1" applyAlignment="1">
      <alignment horizontal="right" vertical="center"/>
    </xf>
    <xf numFmtId="3" fontId="2" fillId="3" borderId="29" xfId="0" applyNumberFormat="1" applyFont="1" applyFill="1" applyBorder="1" applyAlignment="1">
      <alignment vertical="center"/>
    </xf>
    <xf numFmtId="0" fontId="2" fillId="0" borderId="30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164" fontId="2" fillId="0" borderId="18" xfId="0" applyNumberFormat="1" applyFont="1" applyBorder="1" applyAlignment="1">
      <alignment vertical="center"/>
    </xf>
    <xf numFmtId="3" fontId="9" fillId="0" borderId="18" xfId="0" applyNumberFormat="1" applyFont="1" applyBorder="1" applyAlignment="1">
      <alignment horizontal="right" vertical="center"/>
    </xf>
    <xf numFmtId="43" fontId="9" fillId="0" borderId="18" xfId="0" applyNumberFormat="1" applyFont="1" applyBorder="1" applyAlignment="1">
      <alignment vertical="center"/>
    </xf>
    <xf numFmtId="166" fontId="2" fillId="0" borderId="18" xfId="0" applyNumberFormat="1" applyFont="1" applyBorder="1" applyAlignment="1">
      <alignment horizontal="right" vertical="center"/>
    </xf>
    <xf numFmtId="0" fontId="9" fillId="0" borderId="31" xfId="0" applyFont="1" applyBorder="1" applyAlignment="1">
      <alignment horizontal="right" vertical="center" wrapText="1"/>
    </xf>
    <xf numFmtId="43" fontId="9" fillId="0" borderId="19" xfId="0" applyNumberFormat="1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2" fillId="0" borderId="31" xfId="0" applyFont="1" applyBorder="1" applyAlignment="1">
      <alignment vertical="center" wrapText="1"/>
    </xf>
    <xf numFmtId="164" fontId="2" fillId="0" borderId="23" xfId="0" applyNumberFormat="1" applyFont="1" applyBorder="1" applyAlignment="1">
      <alignment vertical="center"/>
    </xf>
    <xf numFmtId="0" fontId="9" fillId="0" borderId="22" xfId="0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164" fontId="9" fillId="0" borderId="19" xfId="0" applyNumberFormat="1" applyFont="1" applyBorder="1" applyAlignment="1">
      <alignment horizontal="right" vertical="center"/>
    </xf>
    <xf numFmtId="43" fontId="9" fillId="0" borderId="19" xfId="0" applyNumberFormat="1" applyFont="1" applyBorder="1" applyAlignment="1">
      <alignment horizontal="right" vertical="center"/>
    </xf>
    <xf numFmtId="164" fontId="9" fillId="0" borderId="23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9" fillId="0" borderId="30" xfId="0" applyFont="1" applyBorder="1" applyAlignment="1">
      <alignment horizontal="right" vertical="center" wrapText="1"/>
    </xf>
    <xf numFmtId="164" fontId="9" fillId="0" borderId="19" xfId="0" applyNumberFormat="1" applyFont="1" applyBorder="1" applyAlignment="1">
      <alignment vertical="center"/>
    </xf>
    <xf numFmtId="0" fontId="9" fillId="0" borderId="31" xfId="0" applyFont="1" applyBorder="1" applyAlignment="1">
      <alignment vertical="center" wrapText="1"/>
    </xf>
    <xf numFmtId="171" fontId="9" fillId="0" borderId="19" xfId="0" applyNumberFormat="1" applyFont="1" applyBorder="1" applyAlignment="1">
      <alignment vertical="center"/>
    </xf>
    <xf numFmtId="167" fontId="9" fillId="0" borderId="19" xfId="0" applyNumberFormat="1" applyFont="1" applyBorder="1" applyAlignment="1">
      <alignment vertical="center"/>
    </xf>
    <xf numFmtId="3" fontId="9" fillId="0" borderId="31" xfId="0" applyNumberFormat="1" applyFont="1" applyBorder="1" applyAlignment="1">
      <alignment horizontal="right" vertical="center" wrapText="1"/>
    </xf>
    <xf numFmtId="43" fontId="9" fillId="0" borderId="31" xfId="0" applyNumberFormat="1" applyFont="1" applyBorder="1" applyAlignment="1">
      <alignment horizontal="right" vertical="center" wrapText="1"/>
    </xf>
    <xf numFmtId="0" fontId="2" fillId="0" borderId="31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center" vertical="center"/>
    </xf>
    <xf numFmtId="165" fontId="9" fillId="0" borderId="18" xfId="0" applyNumberFormat="1" applyFont="1" applyBorder="1" applyAlignment="1">
      <alignment vertical="center"/>
    </xf>
    <xf numFmtId="172" fontId="2" fillId="0" borderId="18" xfId="0" applyNumberFormat="1" applyFont="1" applyBorder="1" applyAlignment="1">
      <alignment vertical="center"/>
    </xf>
    <xf numFmtId="164" fontId="2" fillId="0" borderId="2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72" fontId="2" fillId="0" borderId="19" xfId="0" applyNumberFormat="1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vertical="center" wrapText="1"/>
    </xf>
    <xf numFmtId="0" fontId="2" fillId="0" borderId="34" xfId="0" applyFont="1" applyBorder="1" applyAlignment="1">
      <alignment horizontal="center" vertical="center"/>
    </xf>
    <xf numFmtId="164" fontId="2" fillId="0" borderId="34" xfId="0" applyNumberFormat="1" applyFont="1" applyBorder="1" applyAlignment="1">
      <alignment vertical="center"/>
    </xf>
    <xf numFmtId="3" fontId="9" fillId="0" borderId="34" xfId="0" applyNumberFormat="1" applyFont="1" applyBorder="1" applyAlignment="1">
      <alignment horizontal="right" vertical="center"/>
    </xf>
    <xf numFmtId="165" fontId="9" fillId="0" borderId="34" xfId="0" applyNumberFormat="1" applyFont="1" applyBorder="1" applyAlignment="1">
      <alignment vertical="center"/>
    </xf>
    <xf numFmtId="43" fontId="9" fillId="0" borderId="34" xfId="0" applyNumberFormat="1" applyFont="1" applyBorder="1" applyAlignment="1">
      <alignment vertical="center"/>
    </xf>
    <xf numFmtId="172" fontId="2" fillId="0" borderId="34" xfId="0" applyNumberFormat="1" applyFont="1" applyBorder="1" applyAlignment="1">
      <alignment vertical="center"/>
    </xf>
    <xf numFmtId="164" fontId="2" fillId="0" borderId="35" xfId="0" applyNumberFormat="1" applyFont="1" applyBorder="1" applyAlignment="1">
      <alignment vertical="center"/>
    </xf>
    <xf numFmtId="0" fontId="1" fillId="2" borderId="36" xfId="0" applyFont="1" applyFill="1" applyBorder="1" applyAlignment="1">
      <alignment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vertical="center"/>
    </xf>
    <xf numFmtId="3" fontId="8" fillId="2" borderId="38" xfId="0" applyNumberFormat="1" applyFont="1" applyFill="1" applyBorder="1" applyAlignment="1">
      <alignment horizontal="right" vertical="center"/>
    </xf>
    <xf numFmtId="0" fontId="8" fillId="2" borderId="38" xfId="0" applyFont="1" applyFill="1" applyBorder="1" applyAlignment="1">
      <alignment vertical="center"/>
    </xf>
    <xf numFmtId="164" fontId="1" fillId="2" borderId="39" xfId="0" applyNumberFormat="1" applyFont="1" applyFill="1" applyBorder="1" applyAlignment="1">
      <alignment vertical="center"/>
    </xf>
    <xf numFmtId="164" fontId="2" fillId="0" borderId="0" xfId="0" applyNumberFormat="1" applyFont="1"/>
    <xf numFmtId="0" fontId="10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9" xfId="0" applyFont="1" applyBorder="1" applyAlignment="1">
      <alignment horizontal="center" vertical="center"/>
    </xf>
    <xf numFmtId="0" fontId="7" fillId="0" borderId="10" xfId="0" applyFont="1" applyBorder="1"/>
    <xf numFmtId="0" fontId="7" fillId="0" borderId="11" xfId="0" applyFont="1" applyBorder="1"/>
    <xf numFmtId="164" fontId="12" fillId="0" borderId="19" xfId="1" applyNumberFormat="1" applyFont="1" applyBorder="1" applyAlignment="1">
      <alignment horizontal="right" vertical="center"/>
    </xf>
    <xf numFmtId="0" fontId="12" fillId="0" borderId="3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914400" cy="8858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 summaryRight="0"/>
  </sheetPr>
  <dimension ref="A1:Z1001"/>
  <sheetViews>
    <sheetView tabSelected="1" topLeftCell="A103" workbookViewId="0">
      <selection activeCell="N174" sqref="N174"/>
    </sheetView>
  </sheetViews>
  <sheetFormatPr defaultColWidth="14.42578125" defaultRowHeight="15" customHeight="1" outlineLevelRow="1" outlineLevelCol="1"/>
  <cols>
    <col min="1" max="1" width="4.5703125" customWidth="1"/>
    <col min="2" max="2" width="23.7109375" customWidth="1"/>
    <col min="3" max="3" width="10.140625" customWidth="1"/>
    <col min="4" max="4" width="14.5703125" customWidth="1"/>
    <col min="5" max="5" width="15" customWidth="1" collapsed="1"/>
    <col min="6" max="6" width="9.28515625" hidden="1" customWidth="1" outlineLevel="1"/>
    <col min="7" max="7" width="11.7109375" hidden="1" customWidth="1" outlineLevel="1"/>
    <col min="8" max="8" width="8.42578125" hidden="1" customWidth="1" outlineLevel="1"/>
    <col min="9" max="9" width="9.5703125" hidden="1" customWidth="1" outlineLevel="1"/>
    <col min="10" max="10" width="10.7109375" hidden="1" customWidth="1" outlineLevel="1"/>
    <col min="11" max="11" width="13" hidden="1" customWidth="1" outlineLevel="1"/>
    <col min="12" max="12" width="13.28515625" customWidth="1"/>
    <col min="13" max="13" width="18" customWidth="1"/>
    <col min="14" max="14" width="14" customWidth="1"/>
    <col min="15" max="26" width="8.85546875" customWidth="1"/>
  </cols>
  <sheetData>
    <row r="1" spans="1:26" ht="15.75" customHeight="1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>
      <c r="A2" s="1"/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customHeight="1">
      <c r="A3" s="1"/>
      <c r="B3" s="5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customHeight="1">
      <c r="A4" s="8"/>
      <c r="B4" s="139" t="s">
        <v>0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.75" customHeight="1">
      <c r="A5" s="10"/>
      <c r="B5" s="11"/>
      <c r="C5" s="12" t="s">
        <v>1</v>
      </c>
      <c r="D5" s="13"/>
      <c r="E5" s="14"/>
      <c r="F5" s="14"/>
      <c r="G5" s="14"/>
      <c r="H5" s="14"/>
      <c r="I5" s="14"/>
      <c r="J5" s="14"/>
      <c r="K5" s="14"/>
      <c r="L5" s="14"/>
      <c r="M5" s="15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>
      <c r="A6" s="16"/>
      <c r="B6" s="17"/>
      <c r="C6" s="18" t="s">
        <v>2</v>
      </c>
      <c r="D6" s="19" t="s">
        <v>3</v>
      </c>
      <c r="E6" s="20"/>
      <c r="F6" s="20"/>
      <c r="G6" s="20"/>
      <c r="H6" s="20"/>
      <c r="I6" s="20"/>
      <c r="J6" s="20"/>
      <c r="K6" s="20"/>
      <c r="L6" s="20"/>
      <c r="M6" s="21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75" customHeight="1">
      <c r="A7" s="1"/>
      <c r="B7" s="2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customHeight="1">
      <c r="A8" s="23" t="s">
        <v>4</v>
      </c>
      <c r="B8" s="23" t="s">
        <v>5</v>
      </c>
      <c r="C8" s="24" t="s">
        <v>6</v>
      </c>
      <c r="D8" s="24" t="s">
        <v>7</v>
      </c>
      <c r="E8" s="24" t="s">
        <v>8</v>
      </c>
      <c r="F8" s="24" t="s">
        <v>9</v>
      </c>
      <c r="G8" s="141" t="s">
        <v>10</v>
      </c>
      <c r="H8" s="142"/>
      <c r="I8" s="142"/>
      <c r="J8" s="143"/>
      <c r="K8" s="24" t="s">
        <v>11</v>
      </c>
      <c r="L8" s="24" t="s">
        <v>12</v>
      </c>
      <c r="M8" s="25" t="s">
        <v>13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>
      <c r="A9" s="26"/>
      <c r="B9" s="27" t="s">
        <v>14</v>
      </c>
      <c r="C9" s="27"/>
      <c r="D9" s="27"/>
      <c r="E9" s="27"/>
      <c r="F9" s="28"/>
      <c r="G9" s="29"/>
      <c r="H9" s="29"/>
      <c r="I9" s="29"/>
      <c r="J9" s="29"/>
      <c r="K9" s="29"/>
      <c r="L9" s="27"/>
      <c r="M9" s="30">
        <f>SUBTOTAL(9,M10:M95)</f>
        <v>288265236.24751997</v>
      </c>
      <c r="N9" s="31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15.75" customHeight="1" collapsed="1">
      <c r="A10" s="33">
        <f>IF(C10="","",SUBTOTAL(103,$C$10:C10))</f>
        <v>1</v>
      </c>
      <c r="B10" s="34" t="s">
        <v>15</v>
      </c>
      <c r="C10" s="35" t="s">
        <v>16</v>
      </c>
      <c r="D10" s="36">
        <f>90000/50</f>
        <v>1800</v>
      </c>
      <c r="E10" s="36"/>
      <c r="F10" s="37"/>
      <c r="G10" s="38"/>
      <c r="H10" s="38"/>
      <c r="I10" s="38"/>
      <c r="J10" s="38"/>
      <c r="K10" s="39">
        <f t="shared" ref="K10:K203" si="0">ROUND(PRODUCT(F10:J10),4)</f>
        <v>0</v>
      </c>
      <c r="L10" s="40">
        <f>IF(C10&lt;&gt;0,ROUND(SUM(K10:INDEX($K10:K$210,MATCH("*",$C11:C$210,0),1)),4),0)</f>
        <v>19707.881399999998</v>
      </c>
      <c r="M10" s="41">
        <f>D10*L10</f>
        <v>35474186.519999996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hidden="1" customHeight="1" outlineLevel="1">
      <c r="A11" s="33"/>
      <c r="B11" s="42" t="str">
        <f t="shared" ref="B11:B25" si="1">B27</f>
        <v>Bê tông lót</v>
      </c>
      <c r="C11" s="35"/>
      <c r="D11" s="36"/>
      <c r="E11" s="36"/>
      <c r="F11" s="37"/>
      <c r="G11" s="38"/>
      <c r="H11" s="38"/>
      <c r="I11" s="38"/>
      <c r="J11" s="38"/>
      <c r="K11" s="39">
        <f t="shared" si="0"/>
        <v>0</v>
      </c>
      <c r="L11" s="40">
        <f>IF(C11&lt;&gt;0,ROUND(SUM(K11:INDEX($K11:K$210,MATCH("*",$C12:C$210,0),1)),4),0)</f>
        <v>0</v>
      </c>
      <c r="M11" s="41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hidden="1" customHeight="1" outlineLevel="1">
      <c r="A12" s="43"/>
      <c r="B12" s="44" t="str">
        <f t="shared" si="1"/>
        <v>Mr1+2</v>
      </c>
      <c r="C12" s="45"/>
      <c r="D12" s="46"/>
      <c r="E12" s="46"/>
      <c r="F12" s="47">
        <f t="shared" ref="F12:I12" si="2">F28</f>
        <v>4</v>
      </c>
      <c r="G12" s="48">
        <f t="shared" si="2"/>
        <v>0.9</v>
      </c>
      <c r="H12" s="48">
        <f t="shared" si="2"/>
        <v>0.9</v>
      </c>
      <c r="I12" s="49">
        <f t="shared" si="2"/>
        <v>0.1</v>
      </c>
      <c r="J12" s="50">
        <f t="shared" ref="J12:J15" si="3">1.025*217</f>
        <v>222.42499999999998</v>
      </c>
      <c r="K12" s="39">
        <f t="shared" si="0"/>
        <v>72.065700000000007</v>
      </c>
      <c r="L12" s="40">
        <f>IF(C12&lt;&gt;0,ROUND(SUM(K12:INDEX($K12:K$210,MATCH("*",$C13:C$210,0),1)),4),0)</f>
        <v>0</v>
      </c>
      <c r="M12" s="51">
        <f>D12*L12</f>
        <v>0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hidden="1" customHeight="1" outlineLevel="1">
      <c r="A13" s="43"/>
      <c r="B13" s="44" t="str">
        <f t="shared" si="1"/>
        <v>M/Trục 2</v>
      </c>
      <c r="C13" s="45"/>
      <c r="D13" s="46"/>
      <c r="E13" s="46"/>
      <c r="F13" s="47">
        <f t="shared" ref="F13:I13" si="4">F29</f>
        <v>1</v>
      </c>
      <c r="G13" s="48">
        <f t="shared" si="4"/>
        <v>1</v>
      </c>
      <c r="H13" s="48">
        <f t="shared" si="4"/>
        <v>5.5</v>
      </c>
      <c r="I13" s="49">
        <f t="shared" si="4"/>
        <v>0.1</v>
      </c>
      <c r="J13" s="50">
        <f t="shared" si="3"/>
        <v>222.42499999999998</v>
      </c>
      <c r="K13" s="39">
        <f t="shared" si="0"/>
        <v>122.3338</v>
      </c>
      <c r="L13" s="40">
        <f>IF(C13&lt;&gt;0,ROUND(SUM(K13:INDEX($K13:K$210,MATCH("*",$C14:C$210,0),1)),4),0)</f>
        <v>0</v>
      </c>
      <c r="M13" s="51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hidden="1" customHeight="1" outlineLevel="1">
      <c r="A14" s="43"/>
      <c r="B14" s="44" t="str">
        <f t="shared" si="1"/>
        <v>M/Trục 3</v>
      </c>
      <c r="C14" s="45"/>
      <c r="D14" s="46"/>
      <c r="E14" s="46"/>
      <c r="F14" s="47">
        <f t="shared" ref="F14:I14" si="5">F30</f>
        <v>1</v>
      </c>
      <c r="G14" s="48">
        <f t="shared" si="5"/>
        <v>1.4</v>
      </c>
      <c r="H14" s="48">
        <f t="shared" si="5"/>
        <v>5.5</v>
      </c>
      <c r="I14" s="49">
        <f t="shared" si="5"/>
        <v>0.1</v>
      </c>
      <c r="J14" s="50">
        <f t="shared" si="3"/>
        <v>222.42499999999998</v>
      </c>
      <c r="K14" s="39">
        <f t="shared" si="0"/>
        <v>171.26730000000001</v>
      </c>
      <c r="L14" s="40">
        <f>IF(C14&lt;&gt;0,ROUND(SUM(K14:INDEX($K14:K$210,MATCH("*",$C16:C$210,0),1)),4),0)</f>
        <v>0</v>
      </c>
      <c r="M14" s="51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hidden="1" customHeight="1" outlineLevel="1">
      <c r="A15" s="43"/>
      <c r="B15" s="44" t="str">
        <f t="shared" si="1"/>
        <v>M/Trục 5</v>
      </c>
      <c r="C15" s="45"/>
      <c r="D15" s="46"/>
      <c r="E15" s="46"/>
      <c r="F15" s="47">
        <f t="shared" ref="F15:I15" si="6">F31</f>
        <v>1</v>
      </c>
      <c r="G15" s="48">
        <f t="shared" si="6"/>
        <v>1.2</v>
      </c>
      <c r="H15" s="48">
        <f t="shared" si="6"/>
        <v>5.5</v>
      </c>
      <c r="I15" s="49">
        <f t="shared" si="6"/>
        <v>0.1</v>
      </c>
      <c r="J15" s="50">
        <f t="shared" si="3"/>
        <v>222.42499999999998</v>
      </c>
      <c r="K15" s="39">
        <f t="shared" si="0"/>
        <v>146.8005</v>
      </c>
      <c r="L15" s="40">
        <f>IF(C15&lt;&gt;0,ROUND(SUM(K15:INDEX($K15:K$210,MATCH("*",$C17:C$210,0),1)),4),0)</f>
        <v>0</v>
      </c>
      <c r="M15" s="51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hidden="1" customHeight="1" outlineLevel="1">
      <c r="A16" s="43"/>
      <c r="B16" s="42" t="str">
        <f t="shared" si="1"/>
        <v>Bê tông chịu lực</v>
      </c>
      <c r="C16" s="45"/>
      <c r="D16" s="46"/>
      <c r="E16" s="46"/>
      <c r="F16" s="47">
        <f t="shared" ref="F16:H16" si="7">F32</f>
        <v>1</v>
      </c>
      <c r="G16" s="48">
        <f t="shared" si="7"/>
        <v>43.089672</v>
      </c>
      <c r="H16" s="48">
        <f t="shared" si="7"/>
        <v>1</v>
      </c>
      <c r="I16" s="48"/>
      <c r="J16" s="50">
        <f>1.025*301</f>
        <v>308.52499999999998</v>
      </c>
      <c r="K16" s="39">
        <f t="shared" si="0"/>
        <v>13294.241099999999</v>
      </c>
      <c r="L16" s="40">
        <f>IF(C16&lt;&gt;0,ROUND(SUM(K16:INDEX($K16:K$210,MATCH("*",$C17:C$210,0),1)),4),0)</f>
        <v>0</v>
      </c>
      <c r="M16" s="51">
        <f t="shared" ref="M16:M18" si="8">D16*L16</f>
        <v>0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hidden="1" customHeight="1" outlineLevel="1">
      <c r="A17" s="43"/>
      <c r="B17" s="42" t="str">
        <f t="shared" si="1"/>
        <v>Tường xây dày &lt;=30</v>
      </c>
      <c r="C17" s="45"/>
      <c r="D17" s="46"/>
      <c r="E17" s="46"/>
      <c r="F17" s="47">
        <f t="shared" ref="F17:G17" si="9">F33</f>
        <v>1</v>
      </c>
      <c r="G17" s="48">
        <f t="shared" si="9"/>
        <v>7.4754995192307687</v>
      </c>
      <c r="H17" s="48"/>
      <c r="I17" s="48"/>
      <c r="J17" s="48">
        <f>0.21*264*1.05</f>
        <v>58.212000000000003</v>
      </c>
      <c r="K17" s="39">
        <f t="shared" si="0"/>
        <v>435.16379999999998</v>
      </c>
      <c r="L17" s="40">
        <f>IF(C17&lt;&gt;0,ROUND(SUM(K17:INDEX($K17:K$210,MATCH("*",$C18:C$210,0),1)),4),0)</f>
        <v>0</v>
      </c>
      <c r="M17" s="51">
        <f t="shared" si="8"/>
        <v>0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hidden="1" customHeight="1" outlineLevel="1">
      <c r="A18" s="43"/>
      <c r="B18" s="42" t="str">
        <f t="shared" si="1"/>
        <v>Tường xây dày &lt;=10</v>
      </c>
      <c r="C18" s="45"/>
      <c r="D18" s="46"/>
      <c r="E18" s="46"/>
      <c r="F18" s="47">
        <f t="shared" ref="F18:G18" si="10">F34</f>
        <v>1</v>
      </c>
      <c r="G18" s="48">
        <f t="shared" si="10"/>
        <v>24.229526538461538</v>
      </c>
      <c r="H18" s="48"/>
      <c r="I18" s="48"/>
      <c r="J18" s="48">
        <f>0.17*264*1.05</f>
        <v>47.124000000000002</v>
      </c>
      <c r="K18" s="39">
        <f t="shared" si="0"/>
        <v>1141.7922000000001</v>
      </c>
      <c r="L18" s="40">
        <f t="array" ref="L18">IF(C18&lt;&gt;0,ROUND(SUM(K18:INDEX($K18:K$210,MATCH("*",C20:$C$210,0),1)),4),0)</f>
        <v>0</v>
      </c>
      <c r="M18" s="51">
        <f t="shared" si="8"/>
        <v>0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hidden="1" customHeight="1" outlineLevel="1">
      <c r="A19" s="43"/>
      <c r="B19" s="42" t="str">
        <f t="shared" si="1"/>
        <v>Bậc thang</v>
      </c>
      <c r="C19" s="45"/>
      <c r="D19" s="46"/>
      <c r="E19" s="46"/>
      <c r="F19" s="47">
        <v>1</v>
      </c>
      <c r="G19" s="48">
        <f>G35</f>
        <v>0.50528571428571434</v>
      </c>
      <c r="H19" s="48"/>
      <c r="I19" s="48"/>
      <c r="J19" s="52">
        <f>0.328*264</f>
        <v>86.591999999999999</v>
      </c>
      <c r="K19" s="53">
        <f t="shared" si="0"/>
        <v>43.753700000000002</v>
      </c>
      <c r="L19" s="40"/>
      <c r="M19" s="41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hidden="1" customHeight="1" outlineLevel="1">
      <c r="A20" s="43"/>
      <c r="B20" s="42" t="str">
        <f t="shared" si="1"/>
        <v>Diện tích láng nền sân</v>
      </c>
      <c r="C20" s="45"/>
      <c r="D20" s="46"/>
      <c r="E20" s="46"/>
      <c r="F20" s="47">
        <f t="shared" ref="F20:G20" si="11">F36</f>
        <v>1</v>
      </c>
      <c r="G20" s="48">
        <f t="shared" si="11"/>
        <v>27.580500000000001</v>
      </c>
      <c r="H20" s="48"/>
      <c r="I20" s="48"/>
      <c r="J20" s="50">
        <f>0.035*264</f>
        <v>9.24</v>
      </c>
      <c r="K20" s="39">
        <f t="shared" si="0"/>
        <v>254.84379999999999</v>
      </c>
      <c r="L20" s="40">
        <f>IF(C20&lt;&gt;0,ROUND(SUM(K20:INDEX($K20:K$210,MATCH("*",$C21:C$210,0),1)),4),0)</f>
        <v>0</v>
      </c>
      <c r="M20" s="51">
        <f t="shared" ref="M20:M26" si="12">D20*L20</f>
        <v>0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hidden="1" customHeight="1" outlineLevel="1">
      <c r="A21" s="43"/>
      <c r="B21" s="42" t="str">
        <f t="shared" si="1"/>
        <v>Diện tích láng nền vệ sinh</v>
      </c>
      <c r="C21" s="45"/>
      <c r="D21" s="46"/>
      <c r="E21" s="46"/>
      <c r="F21" s="47">
        <f t="shared" ref="F21:G21" si="13">F37</f>
        <v>1</v>
      </c>
      <c r="G21" s="54">
        <f t="shared" si="13"/>
        <v>5.8162000000000003</v>
      </c>
      <c r="H21" s="48"/>
      <c r="I21" s="48"/>
      <c r="J21" s="50">
        <f>0.035*339</f>
        <v>11.865000000000002</v>
      </c>
      <c r="K21" s="39">
        <f t="shared" si="0"/>
        <v>69.009200000000007</v>
      </c>
      <c r="L21" s="40">
        <f>IF(C21&lt;&gt;0,ROUND(SUM(K21:INDEX($K21:K$210,MATCH("*",$C22:C$210,0),1)),4),0)</f>
        <v>0</v>
      </c>
      <c r="M21" s="51">
        <f t="shared" si="12"/>
        <v>0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hidden="1" customHeight="1" outlineLevel="1">
      <c r="A22" s="43"/>
      <c r="B22" s="42" t="str">
        <f t="shared" si="1"/>
        <v>Diện tích láng nền nhà</v>
      </c>
      <c r="C22" s="45"/>
      <c r="D22" s="46"/>
      <c r="E22" s="46"/>
      <c r="F22" s="47">
        <f t="shared" ref="F22:G22" si="14">F38</f>
        <v>1</v>
      </c>
      <c r="G22" s="48">
        <f t="shared" si="14"/>
        <v>88.770099999999985</v>
      </c>
      <c r="H22" s="48"/>
      <c r="I22" s="48"/>
      <c r="J22" s="50">
        <f>0.025*264</f>
        <v>6.6000000000000005</v>
      </c>
      <c r="K22" s="39">
        <f t="shared" si="0"/>
        <v>585.8827</v>
      </c>
      <c r="L22" s="40">
        <f>IF(C22&lt;&gt;0,ROUND(SUM(K22:INDEX($K22:K$210,MATCH("*",$C23:C$210,0),1)),4),0)</f>
        <v>0</v>
      </c>
      <c r="M22" s="51">
        <f t="shared" si="12"/>
        <v>0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hidden="1" customHeight="1" outlineLevel="1">
      <c r="A23" s="43"/>
      <c r="B23" s="55" t="str">
        <f t="shared" si="1"/>
        <v>Diện tích trát tường khi ốp gạch</v>
      </c>
      <c r="C23" s="56"/>
      <c r="D23" s="57"/>
      <c r="E23" s="57"/>
      <c r="F23" s="58">
        <f t="shared" ref="F23:G23" si="15">F39</f>
        <v>1</v>
      </c>
      <c r="G23" s="54">
        <f t="shared" si="15"/>
        <v>49.037599999999998</v>
      </c>
      <c r="H23" s="54"/>
      <c r="I23" s="54"/>
      <c r="J23" s="50">
        <f t="shared" ref="J23:J24" si="16">0.017*264</f>
        <v>4.4880000000000004</v>
      </c>
      <c r="K23" s="39">
        <f t="shared" si="0"/>
        <v>220.08070000000001</v>
      </c>
      <c r="L23" s="40">
        <f>IF(C23&lt;&gt;0,ROUND(SUM(K23:INDEX($K23:K$210,MATCH("*",$C24:C$210,0),1)),4),0)</f>
        <v>0</v>
      </c>
      <c r="M23" s="51">
        <f t="shared" si="12"/>
        <v>0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hidden="1" customHeight="1" outlineLevel="1">
      <c r="A24" s="43"/>
      <c r="B24" s="42" t="str">
        <f t="shared" si="1"/>
        <v>Diện tích sơn nước</v>
      </c>
      <c r="C24" s="45"/>
      <c r="D24" s="46"/>
      <c r="E24" s="46"/>
      <c r="F24" s="47">
        <f t="shared" ref="F24:G24" si="17">F40</f>
        <v>1</v>
      </c>
      <c r="G24" s="48">
        <f t="shared" si="17"/>
        <v>668.55268664842993</v>
      </c>
      <c r="H24" s="48"/>
      <c r="I24" s="48"/>
      <c r="J24" s="50">
        <f t="shared" si="16"/>
        <v>4.4880000000000004</v>
      </c>
      <c r="K24" s="39">
        <f t="shared" si="0"/>
        <v>3000.4645</v>
      </c>
      <c r="L24" s="40">
        <f>IF(C24&lt;&gt;0,ROUND(SUM(K24:INDEX($K24:K$210,MATCH("*",$C25:C$210,0),1)),4),0)</f>
        <v>0</v>
      </c>
      <c r="M24" s="51">
        <f t="shared" si="12"/>
        <v>0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hidden="1" customHeight="1" outlineLevel="1">
      <c r="A25" s="43"/>
      <c r="B25" s="42" t="str">
        <f t="shared" si="1"/>
        <v>Diện tích chống thấm</v>
      </c>
      <c r="C25" s="45"/>
      <c r="D25" s="46"/>
      <c r="E25" s="46"/>
      <c r="F25" s="47">
        <f t="shared" ref="F25:G25" si="18">F41</f>
        <v>1</v>
      </c>
      <c r="G25" s="48">
        <f t="shared" si="18"/>
        <v>12.6576</v>
      </c>
      <c r="H25" s="48"/>
      <c r="I25" s="48"/>
      <c r="J25" s="50">
        <f>0.035*339</f>
        <v>11.865000000000002</v>
      </c>
      <c r="K25" s="39">
        <f t="shared" si="0"/>
        <v>150.1824</v>
      </c>
      <c r="L25" s="40">
        <f>IF(C25&lt;&gt;0,ROUND(SUM(K25:INDEX($K25:K$210,MATCH("*",$C26:C$210,0),1)),4),0)</f>
        <v>0</v>
      </c>
      <c r="M25" s="51">
        <f t="shared" si="12"/>
        <v>0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collapsed="1">
      <c r="A26" s="43">
        <f>IF(C26="","",SUBTOTAL(103,$C$10:C26))</f>
        <v>2</v>
      </c>
      <c r="B26" s="59" t="s">
        <v>17</v>
      </c>
      <c r="C26" s="45" t="s">
        <v>18</v>
      </c>
      <c r="D26" s="46">
        <v>350000</v>
      </c>
      <c r="E26" s="46"/>
      <c r="F26" s="47"/>
      <c r="G26" s="48"/>
      <c r="H26" s="48"/>
      <c r="I26" s="48"/>
      <c r="J26" s="48"/>
      <c r="K26" s="39">
        <f t="shared" si="0"/>
        <v>0</v>
      </c>
      <c r="L26" s="40">
        <f>IF(C26&lt;&gt;0,ROUND(SUM(K26:INDEX($K26:K$210,MATCH("*",$C27:C$210,0),1)),4),0)</f>
        <v>51.084899999999998</v>
      </c>
      <c r="M26" s="51">
        <f t="shared" si="12"/>
        <v>17879715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hidden="1" customHeight="1" outlineLevel="1">
      <c r="A27" s="43"/>
      <c r="B27" s="42" t="str">
        <f t="shared" ref="B27:B32" si="19">B43</f>
        <v>Bê tông lót</v>
      </c>
      <c r="C27" s="45"/>
      <c r="D27" s="46"/>
      <c r="E27" s="46"/>
      <c r="F27" s="47"/>
      <c r="G27" s="48"/>
      <c r="H27" s="48"/>
      <c r="I27" s="48"/>
      <c r="J27" s="48"/>
      <c r="K27" s="39">
        <f t="shared" si="0"/>
        <v>0</v>
      </c>
      <c r="L27" s="40">
        <f>IF(C27&lt;&gt;0,ROUND(SUM(K27:INDEX($K27:K$210,MATCH("*",$C28:C$210,0),1)),4),0)</f>
        <v>0</v>
      </c>
      <c r="M27" s="51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hidden="1" customHeight="1" outlineLevel="1">
      <c r="A28" s="43"/>
      <c r="B28" s="44" t="str">
        <f t="shared" si="19"/>
        <v>Mr1+2</v>
      </c>
      <c r="C28" s="45"/>
      <c r="D28" s="46"/>
      <c r="E28" s="46"/>
      <c r="F28" s="47">
        <f t="shared" ref="F28:I28" si="20">F44</f>
        <v>4</v>
      </c>
      <c r="G28" s="48">
        <f t="shared" si="20"/>
        <v>0.9</v>
      </c>
      <c r="H28" s="48">
        <f t="shared" si="20"/>
        <v>0.9</v>
      </c>
      <c r="I28" s="49">
        <f t="shared" si="20"/>
        <v>0.1</v>
      </c>
      <c r="J28" s="50">
        <f t="shared" ref="J28:J31" si="21">1.025*0.539</f>
        <v>0.55247499999999994</v>
      </c>
      <c r="K28" s="39">
        <f t="shared" si="0"/>
        <v>0.17899999999999999</v>
      </c>
      <c r="L28" s="40">
        <f>IF(C28&lt;&gt;0,ROUND(SUM(K28:INDEX($K28:K$210,MATCH("*",$C29:C$210,0),1)),4),0)</f>
        <v>0</v>
      </c>
      <c r="M28" s="51">
        <f>D28*L28</f>
        <v>0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hidden="1" customHeight="1" outlineLevel="1">
      <c r="A29" s="43"/>
      <c r="B29" s="44" t="str">
        <f t="shared" si="19"/>
        <v>M/Trục 2</v>
      </c>
      <c r="C29" s="45"/>
      <c r="D29" s="46"/>
      <c r="E29" s="46"/>
      <c r="F29" s="47">
        <f t="shared" ref="F29:I29" si="22">F45</f>
        <v>1</v>
      </c>
      <c r="G29" s="48">
        <f t="shared" si="22"/>
        <v>1</v>
      </c>
      <c r="H29" s="48">
        <f t="shared" si="22"/>
        <v>5.5</v>
      </c>
      <c r="I29" s="49">
        <f t="shared" si="22"/>
        <v>0.1</v>
      </c>
      <c r="J29" s="50">
        <f t="shared" si="21"/>
        <v>0.55247499999999994</v>
      </c>
      <c r="K29" s="39">
        <f t="shared" si="0"/>
        <v>0.3039</v>
      </c>
      <c r="L29" s="40">
        <f>IF(C29&lt;&gt;0,ROUND(SUM(K29:INDEX($K29:K$210,MATCH("*",$C30:C$210,0),1)),4),0)</f>
        <v>0</v>
      </c>
      <c r="M29" s="51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hidden="1" customHeight="1" outlineLevel="1">
      <c r="A30" s="43"/>
      <c r="B30" s="44" t="str">
        <f t="shared" si="19"/>
        <v>M/Trục 3</v>
      </c>
      <c r="C30" s="45"/>
      <c r="D30" s="46"/>
      <c r="E30" s="46"/>
      <c r="F30" s="47">
        <f t="shared" ref="F30:I30" si="23">F46</f>
        <v>1</v>
      </c>
      <c r="G30" s="48">
        <f t="shared" si="23"/>
        <v>1.4</v>
      </c>
      <c r="H30" s="48">
        <f t="shared" si="23"/>
        <v>5.5</v>
      </c>
      <c r="I30" s="49">
        <f t="shared" si="23"/>
        <v>0.1</v>
      </c>
      <c r="J30" s="50">
        <f t="shared" si="21"/>
        <v>0.55247499999999994</v>
      </c>
      <c r="K30" s="39">
        <f t="shared" si="0"/>
        <v>0.4254</v>
      </c>
      <c r="L30" s="40">
        <f>IF(C30&lt;&gt;0,ROUND(SUM(K30:INDEX($K30:K$210,MATCH("*",$C32:C$210,0),1)),4),0)</f>
        <v>0</v>
      </c>
      <c r="M30" s="51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hidden="1" customHeight="1" outlineLevel="1">
      <c r="A31" s="43"/>
      <c r="B31" s="44" t="str">
        <f t="shared" si="19"/>
        <v>M/Trục 5</v>
      </c>
      <c r="C31" s="45"/>
      <c r="D31" s="46"/>
      <c r="E31" s="46"/>
      <c r="F31" s="47">
        <f t="shared" ref="F31:I31" si="24">F47</f>
        <v>1</v>
      </c>
      <c r="G31" s="48">
        <f t="shared" si="24"/>
        <v>1.2</v>
      </c>
      <c r="H31" s="48">
        <f t="shared" si="24"/>
        <v>5.5</v>
      </c>
      <c r="I31" s="49">
        <f t="shared" si="24"/>
        <v>0.1</v>
      </c>
      <c r="J31" s="50">
        <f t="shared" si="21"/>
        <v>0.55247499999999994</v>
      </c>
      <c r="K31" s="39">
        <f t="shared" si="0"/>
        <v>0.36459999999999998</v>
      </c>
      <c r="L31" s="40">
        <f>IF(C31&lt;&gt;0,ROUND(SUM(K31:INDEX($K31:K$210,MATCH("*",$C33:C$210,0),1)),4),0)</f>
        <v>0</v>
      </c>
      <c r="M31" s="51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hidden="1" customHeight="1" outlineLevel="1">
      <c r="A32" s="43"/>
      <c r="B32" s="42" t="str">
        <f t="shared" si="19"/>
        <v>Bê tông chịu lực</v>
      </c>
      <c r="C32" s="45"/>
      <c r="D32" s="46"/>
      <c r="E32" s="46"/>
      <c r="F32" s="47">
        <f t="shared" ref="F32:H32" si="25">F48</f>
        <v>1</v>
      </c>
      <c r="G32" s="48">
        <f t="shared" si="25"/>
        <v>43.089672</v>
      </c>
      <c r="H32" s="48">
        <f t="shared" si="25"/>
        <v>1</v>
      </c>
      <c r="I32" s="48"/>
      <c r="J32" s="50">
        <f>1.025*0.519</f>
        <v>0.53197499999999998</v>
      </c>
      <c r="K32" s="39">
        <f t="shared" si="0"/>
        <v>22.922599999999999</v>
      </c>
      <c r="L32" s="40">
        <f>IF(C32&lt;&gt;0,ROUND(SUM(K32:INDEX($K32:K$210,MATCH("*",$C33:C$210,0),1)),4),0)</f>
        <v>0</v>
      </c>
      <c r="M32" s="51">
        <f t="shared" ref="M32:M34" si="26">D32*L32</f>
        <v>0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hidden="1" customHeight="1" outlineLevel="1">
      <c r="A33" s="43"/>
      <c r="B33" s="42" t="s">
        <v>19</v>
      </c>
      <c r="C33" s="45"/>
      <c r="D33" s="46"/>
      <c r="E33" s="46"/>
      <c r="F33" s="47">
        <v>1</v>
      </c>
      <c r="G33" s="48">
        <f>SUMPRODUCT(F66:F67,G66:G67)</f>
        <v>7.4754995192307687</v>
      </c>
      <c r="H33" s="48"/>
      <c r="I33" s="48"/>
      <c r="J33" s="52">
        <f>0.17*1.19*1.05</f>
        <v>0.21241500000000002</v>
      </c>
      <c r="K33" s="39">
        <f t="shared" si="0"/>
        <v>1.5879000000000001</v>
      </c>
      <c r="L33" s="40">
        <f>IF(C33&lt;&gt;0,ROUND(SUM(K33:INDEX($K33:K$210,MATCH("*",$C34:C$210,0),1)),4),0)</f>
        <v>0</v>
      </c>
      <c r="M33" s="51">
        <f t="shared" si="26"/>
        <v>0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hidden="1" customHeight="1" outlineLevel="1">
      <c r="A34" s="43"/>
      <c r="B34" s="42" t="s">
        <v>20</v>
      </c>
      <c r="C34" s="45"/>
      <c r="D34" s="46"/>
      <c r="E34" s="46"/>
      <c r="F34" s="47">
        <v>1</v>
      </c>
      <c r="G34" s="48">
        <f>SUMPRODUCT(F68:F69,G68:G69)</f>
        <v>24.229526538461538</v>
      </c>
      <c r="H34" s="48"/>
      <c r="I34" s="48"/>
      <c r="J34" s="52">
        <f>0.2*1.19*1.05</f>
        <v>0.24990000000000001</v>
      </c>
      <c r="K34" s="39">
        <f t="shared" si="0"/>
        <v>6.0549999999999997</v>
      </c>
      <c r="L34" s="40">
        <f t="array" ref="L34">IF(C34&lt;&gt;0,ROUND(SUM(K34:INDEX($K34:K$210,MATCH("*",C36:$C$210,0),1)),4),0)</f>
        <v>0</v>
      </c>
      <c r="M34" s="51">
        <f t="shared" si="26"/>
        <v>0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hidden="1" customHeight="1" outlineLevel="1">
      <c r="A35" s="43"/>
      <c r="B35" s="42" t="str">
        <f>B58</f>
        <v>Bậc thang</v>
      </c>
      <c r="C35" s="45"/>
      <c r="D35" s="46"/>
      <c r="E35" s="46"/>
      <c r="F35" s="47">
        <v>1</v>
      </c>
      <c r="G35" s="48">
        <f>G58</f>
        <v>0.50528571428571434</v>
      </c>
      <c r="H35" s="48"/>
      <c r="I35" s="48"/>
      <c r="J35" s="52">
        <f>0.328*1.19</f>
        <v>0.39032</v>
      </c>
      <c r="K35" s="53">
        <f t="shared" si="0"/>
        <v>0.19719999999999999</v>
      </c>
      <c r="L35" s="40"/>
      <c r="M35" s="41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hidden="1" customHeight="1" outlineLevel="1">
      <c r="A36" s="43"/>
      <c r="B36" s="42" t="s">
        <v>21</v>
      </c>
      <c r="C36" s="45"/>
      <c r="D36" s="46"/>
      <c r="E36" s="46"/>
      <c r="F36" s="47">
        <v>1</v>
      </c>
      <c r="G36" s="48">
        <f>L111</f>
        <v>27.580500000000001</v>
      </c>
      <c r="H36" s="48"/>
      <c r="I36" s="48"/>
      <c r="J36" s="50">
        <f>0.035*1.19</f>
        <v>4.165E-2</v>
      </c>
      <c r="K36" s="39">
        <f t="shared" si="0"/>
        <v>1.1487000000000001</v>
      </c>
      <c r="L36" s="40">
        <f>IF(C36&lt;&gt;0,ROUND(SUM(K36:INDEX($K36:K$210,MATCH("*",$C37:C$210,0),1)),4),0)</f>
        <v>0</v>
      </c>
      <c r="M36" s="51">
        <f t="shared" ref="M36:M42" si="27">D36*L36</f>
        <v>0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hidden="1" customHeight="1" outlineLevel="1">
      <c r="A37" s="43"/>
      <c r="B37" s="55" t="s">
        <v>22</v>
      </c>
      <c r="C37" s="56"/>
      <c r="D37" s="57"/>
      <c r="E37" s="57"/>
      <c r="F37" s="58">
        <v>1</v>
      </c>
      <c r="G37" s="54">
        <f>L103</f>
        <v>5.8162000000000003</v>
      </c>
      <c r="H37" s="54"/>
      <c r="I37" s="54"/>
      <c r="J37" s="50">
        <f>0.035*1.149</f>
        <v>4.0215000000000008E-2</v>
      </c>
      <c r="K37" s="39">
        <f t="shared" si="0"/>
        <v>0.2339</v>
      </c>
      <c r="L37" s="40">
        <f>IF(C37&lt;&gt;0,ROUND(SUM(K37:INDEX($K37:K$210,MATCH("*",$C38:C$210,0),1)),4),0)</f>
        <v>0</v>
      </c>
      <c r="M37" s="51">
        <f t="shared" si="27"/>
        <v>0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hidden="1" customHeight="1" outlineLevel="1">
      <c r="A38" s="43"/>
      <c r="B38" s="55" t="s">
        <v>23</v>
      </c>
      <c r="C38" s="56"/>
      <c r="D38" s="57"/>
      <c r="E38" s="57"/>
      <c r="F38" s="58">
        <v>1</v>
      </c>
      <c r="G38" s="54">
        <f>L97+L115+L120</f>
        <v>88.770099999999985</v>
      </c>
      <c r="H38" s="54"/>
      <c r="I38" s="54"/>
      <c r="J38" s="50">
        <f>0.025*1.19</f>
        <v>2.9749999999999999E-2</v>
      </c>
      <c r="K38" s="39">
        <f t="shared" si="0"/>
        <v>2.6408999999999998</v>
      </c>
      <c r="L38" s="40">
        <f>IF(C38&lt;&gt;0,ROUND(SUM(K38:INDEX($K38:K$210,MATCH("*",$C39:C$210,0),1)),4),0)</f>
        <v>0</v>
      </c>
      <c r="M38" s="51">
        <f t="shared" si="27"/>
        <v>0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hidden="1" customHeight="1" outlineLevel="1">
      <c r="A39" s="43"/>
      <c r="B39" s="55" t="s">
        <v>24</v>
      </c>
      <c r="C39" s="56"/>
      <c r="D39" s="57"/>
      <c r="E39" s="57"/>
      <c r="F39" s="58">
        <v>1</v>
      </c>
      <c r="G39" s="54">
        <f>L106</f>
        <v>49.037599999999998</v>
      </c>
      <c r="H39" s="54"/>
      <c r="I39" s="54"/>
      <c r="J39" s="50">
        <f t="shared" ref="J39:J40" si="28">0.017*1.19</f>
        <v>2.0230000000000001E-2</v>
      </c>
      <c r="K39" s="39">
        <f t="shared" si="0"/>
        <v>0.99199999999999999</v>
      </c>
      <c r="L39" s="40">
        <f>IF(C39&lt;&gt;0,ROUND(SUM(K39:INDEX($K39:K$210,MATCH("*",$C40:C$210,0),1)),4),0)</f>
        <v>0</v>
      </c>
      <c r="M39" s="51">
        <f t="shared" si="27"/>
        <v>0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hidden="1" customHeight="1" outlineLevel="1">
      <c r="A40" s="43"/>
      <c r="B40" s="55" t="s">
        <v>25</v>
      </c>
      <c r="C40" s="56"/>
      <c r="D40" s="57"/>
      <c r="E40" s="57"/>
      <c r="F40" s="58">
        <v>1</v>
      </c>
      <c r="G40" s="54">
        <f>G148+G156</f>
        <v>668.55268664842993</v>
      </c>
      <c r="H40" s="54"/>
      <c r="I40" s="54"/>
      <c r="J40" s="50">
        <f t="shared" si="28"/>
        <v>2.0230000000000001E-2</v>
      </c>
      <c r="K40" s="39">
        <f t="shared" si="0"/>
        <v>13.524800000000001</v>
      </c>
      <c r="L40" s="40">
        <f>IF(C40&lt;&gt;0,ROUND(SUM(K40:INDEX($K40:K$210,MATCH("*",$C41:C$210,0),1)),4),0)</f>
        <v>0</v>
      </c>
      <c r="M40" s="51">
        <f t="shared" si="27"/>
        <v>0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hidden="1" customHeight="1" outlineLevel="1">
      <c r="A41" s="43"/>
      <c r="B41" s="55" t="s">
        <v>26</v>
      </c>
      <c r="C41" s="56"/>
      <c r="D41" s="57"/>
      <c r="E41" s="57"/>
      <c r="F41" s="58">
        <v>1</v>
      </c>
      <c r="G41" s="54">
        <f>L162/J163</f>
        <v>12.6576</v>
      </c>
      <c r="H41" s="54"/>
      <c r="I41" s="54"/>
      <c r="J41" s="50">
        <f>0.035*1.149</f>
        <v>4.0215000000000008E-2</v>
      </c>
      <c r="K41" s="39">
        <f t="shared" si="0"/>
        <v>0.50900000000000001</v>
      </c>
      <c r="L41" s="40">
        <f>IF(C41&lt;&gt;0,ROUND(SUM(K41:INDEX($K41:K$210,MATCH("*",$C42:C$210,0),1)),4),0)</f>
        <v>0</v>
      </c>
      <c r="M41" s="51">
        <f t="shared" si="27"/>
        <v>0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collapsed="1">
      <c r="A42" s="43">
        <f>IF(C42="","",SUBTOTAL(103,$C$10:C42))</f>
        <v>3</v>
      </c>
      <c r="B42" s="59" t="s">
        <v>27</v>
      </c>
      <c r="C42" s="45" t="s">
        <v>28</v>
      </c>
      <c r="D42" s="46">
        <v>400000</v>
      </c>
      <c r="E42" s="46"/>
      <c r="F42" s="47"/>
      <c r="G42" s="48"/>
      <c r="H42" s="48"/>
      <c r="I42" s="48"/>
      <c r="J42" s="48"/>
      <c r="K42" s="39">
        <f t="shared" si="0"/>
        <v>0</v>
      </c>
      <c r="L42" s="40">
        <f>IF(C42&lt;&gt;0,ROUND(SUM(K42:INDEX($K42:K$210,MATCH("*",$C43:C$210,0),1)),4),0)</f>
        <v>39.857500000000002</v>
      </c>
      <c r="M42" s="51">
        <f t="shared" si="27"/>
        <v>15943000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hidden="1" customHeight="1" outlineLevel="1">
      <c r="A43" s="43"/>
      <c r="B43" s="60" t="s">
        <v>29</v>
      </c>
      <c r="C43" s="61"/>
      <c r="D43" s="62"/>
      <c r="E43" s="62"/>
      <c r="F43" s="63"/>
      <c r="G43" s="64"/>
      <c r="H43" s="64"/>
      <c r="I43" s="64"/>
      <c r="J43" s="64"/>
      <c r="K43" s="65">
        <f t="shared" si="0"/>
        <v>0</v>
      </c>
      <c r="L43" s="40">
        <f>IF(C43&lt;&gt;0,ROUND(SUM(K43:INDEX($K43:K$210,MATCH("*",$C44:C$210,0),1)),4),0)</f>
        <v>0</v>
      </c>
      <c r="M43" s="51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hidden="1" customHeight="1" outlineLevel="1">
      <c r="A44" s="43"/>
      <c r="B44" s="63" t="str">
        <f>B79</f>
        <v>Mr1+2</v>
      </c>
      <c r="C44" s="61"/>
      <c r="D44" s="62"/>
      <c r="E44" s="62"/>
      <c r="F44" s="63">
        <f>F79</f>
        <v>4</v>
      </c>
      <c r="G44" s="64">
        <f t="shared" ref="G44:H44" si="29">G79+0.1</f>
        <v>0.9</v>
      </c>
      <c r="H44" s="64">
        <f t="shared" si="29"/>
        <v>0.9</v>
      </c>
      <c r="I44" s="66">
        <f t="shared" ref="I44:I47" si="30">0.1</f>
        <v>0.1</v>
      </c>
      <c r="J44" s="64">
        <f t="shared" ref="J44:J47" si="31">1.025*0.887</f>
        <v>0.90917499999999996</v>
      </c>
      <c r="K44" s="65">
        <f t="shared" si="0"/>
        <v>0.29459999999999997</v>
      </c>
      <c r="L44" s="40">
        <f>IF(C44&lt;&gt;0,ROUND(SUM(K44:INDEX($K44:K$210,MATCH("*",$C45:C$210,0),1)),4),0)</f>
        <v>0</v>
      </c>
      <c r="M44" s="51">
        <f>D44*L44</f>
        <v>0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hidden="1" customHeight="1" outlineLevel="1">
      <c r="A45" s="43"/>
      <c r="B45" s="63" t="str">
        <f>B81</f>
        <v>M/Trục 2</v>
      </c>
      <c r="C45" s="61"/>
      <c r="D45" s="62"/>
      <c r="E45" s="62"/>
      <c r="F45" s="63">
        <f>F81</f>
        <v>1</v>
      </c>
      <c r="G45" s="64">
        <f>G81+0.1*2</f>
        <v>1</v>
      </c>
      <c r="H45" s="64">
        <f>H81</f>
        <v>5.5</v>
      </c>
      <c r="I45" s="66">
        <f t="shared" si="30"/>
        <v>0.1</v>
      </c>
      <c r="J45" s="64">
        <f t="shared" si="31"/>
        <v>0.90917499999999996</v>
      </c>
      <c r="K45" s="65">
        <f t="shared" si="0"/>
        <v>0.5</v>
      </c>
      <c r="L45" s="40">
        <f>IF(C45&lt;&gt;0,ROUND(SUM(K45:INDEX($K45:K$210,MATCH("*",$C46:C$210,0),1)),4),0)</f>
        <v>0</v>
      </c>
      <c r="M45" s="51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hidden="1" customHeight="1" outlineLevel="1">
      <c r="A46" s="43"/>
      <c r="B46" s="63" t="str">
        <f>B84</f>
        <v>M/Trục 3</v>
      </c>
      <c r="C46" s="61"/>
      <c r="D46" s="62"/>
      <c r="E46" s="62"/>
      <c r="F46" s="63">
        <f>F84</f>
        <v>1</v>
      </c>
      <c r="G46" s="64">
        <f>G84+0.1*2</f>
        <v>1.4</v>
      </c>
      <c r="H46" s="64">
        <f>H84</f>
        <v>5.5</v>
      </c>
      <c r="I46" s="66">
        <f t="shared" si="30"/>
        <v>0.1</v>
      </c>
      <c r="J46" s="64">
        <f t="shared" si="31"/>
        <v>0.90917499999999996</v>
      </c>
      <c r="K46" s="65">
        <f t="shared" si="0"/>
        <v>0.70009999999999994</v>
      </c>
      <c r="L46" s="40">
        <f t="array" ref="L46">IF(C46&lt;&gt;0,ROUND(SUM(K46:INDEX($K46:K$210,MATCH("*",C48:$C$210,0),1)),4),0)</f>
        <v>0</v>
      </c>
      <c r="M46" s="51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hidden="1" customHeight="1" outlineLevel="1">
      <c r="A47" s="43"/>
      <c r="B47" s="63" t="str">
        <f>B87</f>
        <v>M/Trục 5</v>
      </c>
      <c r="C47" s="61"/>
      <c r="D47" s="62"/>
      <c r="E47" s="62"/>
      <c r="F47" s="63">
        <f>F87</f>
        <v>1</v>
      </c>
      <c r="G47" s="64">
        <f>G87+0.1*2</f>
        <v>1.2</v>
      </c>
      <c r="H47" s="64">
        <f>H87</f>
        <v>5.5</v>
      </c>
      <c r="I47" s="66">
        <f t="shared" si="30"/>
        <v>0.1</v>
      </c>
      <c r="J47" s="64">
        <f t="shared" si="31"/>
        <v>0.90917499999999996</v>
      </c>
      <c r="K47" s="65">
        <f t="shared" si="0"/>
        <v>0.60009999999999997</v>
      </c>
      <c r="L47" s="40"/>
      <c r="M47" s="51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hidden="1" customHeight="1" outlineLevel="1">
      <c r="A48" s="43"/>
      <c r="B48" s="60" t="s">
        <v>30</v>
      </c>
      <c r="C48" s="61"/>
      <c r="D48" s="62"/>
      <c r="E48" s="62"/>
      <c r="F48" s="63">
        <v>1</v>
      </c>
      <c r="G48" s="64">
        <f>SUMPRODUCT(F79:F89,G79:G89,H79:H89,I79:I89)+SUMPRODUCT(F90:F93,G90:G93)</f>
        <v>43.089672</v>
      </c>
      <c r="H48" s="64">
        <v>1</v>
      </c>
      <c r="I48" s="64"/>
      <c r="J48" s="64">
        <f>1.025*0.855</f>
        <v>0.8763749999999999</v>
      </c>
      <c r="K48" s="65">
        <f t="shared" si="0"/>
        <v>37.762700000000002</v>
      </c>
      <c r="L48" s="40">
        <f>IF(C48&lt;&gt;0,ROUND(SUM(K48:INDEX($K48:K$210,MATCH("*",$C49:C$210,0),1)),4),0)</f>
        <v>0</v>
      </c>
      <c r="M48" s="51">
        <f t="shared" ref="M48:M49" si="32">D48*L48</f>
        <v>0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collapsed="1">
      <c r="A49" s="43">
        <f>IF(C49="","",SUBTOTAL(103,$C$10:C49))</f>
        <v>4</v>
      </c>
      <c r="B49" s="59" t="s">
        <v>31</v>
      </c>
      <c r="C49" s="45" t="s">
        <v>32</v>
      </c>
      <c r="D49" s="46">
        <v>10</v>
      </c>
      <c r="E49" s="46"/>
      <c r="F49" s="47"/>
      <c r="G49" s="48"/>
      <c r="H49" s="48"/>
      <c r="I49" s="48"/>
      <c r="J49" s="48"/>
      <c r="K49" s="39">
        <f t="shared" si="0"/>
        <v>0</v>
      </c>
      <c r="L49" s="40">
        <f>IF(C49&lt;&gt;0,ROUND(SUM(K49:INDEX($K49:K$210,MATCH("*",$C50:C$210,0),1)),4),0)</f>
        <v>14733.512199999999</v>
      </c>
      <c r="M49" s="51">
        <f t="shared" si="32"/>
        <v>147335.122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hidden="1" customHeight="1" outlineLevel="1">
      <c r="A50" s="43"/>
      <c r="B50" s="42" t="str">
        <f t="shared" ref="B50:B55" si="33">B43</f>
        <v>Bê tông lót</v>
      </c>
      <c r="C50" s="45"/>
      <c r="D50" s="46"/>
      <c r="E50" s="46"/>
      <c r="F50" s="47"/>
      <c r="G50" s="48"/>
      <c r="H50" s="48"/>
      <c r="I50" s="48"/>
      <c r="J50" s="48"/>
      <c r="K50" s="39">
        <f t="shared" si="0"/>
        <v>0</v>
      </c>
      <c r="L50" s="40">
        <f>IF(C50&lt;&gt;0,ROUND(SUM(K50:INDEX($K50:K$210,MATCH("*",$C51:C$210,0),1)),4),0)</f>
        <v>0</v>
      </c>
      <c r="M50" s="51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hidden="1" customHeight="1" outlineLevel="1">
      <c r="A51" s="43"/>
      <c r="B51" s="44" t="str">
        <f t="shared" si="33"/>
        <v>Mr1+2</v>
      </c>
      <c r="C51" s="45"/>
      <c r="D51" s="46"/>
      <c r="E51" s="46"/>
      <c r="F51" s="47">
        <f t="shared" ref="F51:I51" si="34">F44</f>
        <v>4</v>
      </c>
      <c r="G51" s="48">
        <f t="shared" si="34"/>
        <v>0.9</v>
      </c>
      <c r="H51" s="48">
        <f t="shared" si="34"/>
        <v>0.9</v>
      </c>
      <c r="I51" s="48">
        <f t="shared" si="34"/>
        <v>0.1</v>
      </c>
      <c r="J51" s="48">
        <f t="shared" ref="J51:J55" si="35">1.025*183</f>
        <v>187.57499999999999</v>
      </c>
      <c r="K51" s="39">
        <f t="shared" si="0"/>
        <v>60.774299999999997</v>
      </c>
      <c r="L51" s="40">
        <f>IF(C51&lt;&gt;0,ROUND(SUM(K51:INDEX($K51:K$210,MATCH("*",$C52:C$210,0),1)),4),0)</f>
        <v>0</v>
      </c>
      <c r="M51" s="51">
        <f>D51*L51</f>
        <v>0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hidden="1" customHeight="1" outlineLevel="1">
      <c r="A52" s="43"/>
      <c r="B52" s="44" t="str">
        <f t="shared" si="33"/>
        <v>M/Trục 2</v>
      </c>
      <c r="C52" s="45"/>
      <c r="D52" s="46"/>
      <c r="E52" s="46"/>
      <c r="F52" s="47">
        <f t="shared" ref="F52:I52" si="36">F45</f>
        <v>1</v>
      </c>
      <c r="G52" s="48">
        <f t="shared" si="36"/>
        <v>1</v>
      </c>
      <c r="H52" s="48">
        <f t="shared" si="36"/>
        <v>5.5</v>
      </c>
      <c r="I52" s="48">
        <f t="shared" si="36"/>
        <v>0.1</v>
      </c>
      <c r="J52" s="48">
        <f t="shared" si="35"/>
        <v>187.57499999999999</v>
      </c>
      <c r="K52" s="39">
        <f t="shared" si="0"/>
        <v>103.16630000000001</v>
      </c>
      <c r="L52" s="40">
        <f>IF(C52&lt;&gt;0,ROUND(SUM(K52:INDEX($K52:K$210,MATCH("*",$C53:C$210,0),1)),4),0)</f>
        <v>0</v>
      </c>
      <c r="M52" s="51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hidden="1" customHeight="1" outlineLevel="1">
      <c r="A53" s="43"/>
      <c r="B53" s="44" t="str">
        <f t="shared" si="33"/>
        <v>M/Trục 3</v>
      </c>
      <c r="C53" s="45"/>
      <c r="D53" s="46"/>
      <c r="E53" s="46"/>
      <c r="F53" s="47">
        <f t="shared" ref="F53:I53" si="37">F46</f>
        <v>1</v>
      </c>
      <c r="G53" s="48">
        <f t="shared" si="37"/>
        <v>1.4</v>
      </c>
      <c r="H53" s="48">
        <f t="shared" si="37"/>
        <v>5.5</v>
      </c>
      <c r="I53" s="48">
        <f t="shared" si="37"/>
        <v>0.1</v>
      </c>
      <c r="J53" s="48">
        <f t="shared" si="35"/>
        <v>187.57499999999999</v>
      </c>
      <c r="K53" s="39">
        <f t="shared" si="0"/>
        <v>144.43279999999999</v>
      </c>
      <c r="L53" s="40">
        <f t="array" ref="L53">IF(C53&lt;&gt;0,ROUND(SUM(K53:INDEX($K53:K$210,MATCH("*",C55:$C$210,0),1)),4),0)</f>
        <v>0</v>
      </c>
      <c r="M53" s="51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hidden="1" customHeight="1" outlineLevel="1">
      <c r="A54" s="43"/>
      <c r="B54" s="44" t="str">
        <f t="shared" si="33"/>
        <v>M/Trục 5</v>
      </c>
      <c r="C54" s="45"/>
      <c r="D54" s="46"/>
      <c r="E54" s="46"/>
      <c r="F54" s="47">
        <f t="shared" ref="F54:I54" si="38">F47</f>
        <v>1</v>
      </c>
      <c r="G54" s="48">
        <f t="shared" si="38"/>
        <v>1.2</v>
      </c>
      <c r="H54" s="48">
        <f t="shared" si="38"/>
        <v>5.5</v>
      </c>
      <c r="I54" s="48">
        <f t="shared" si="38"/>
        <v>0.1</v>
      </c>
      <c r="J54" s="48">
        <f t="shared" si="35"/>
        <v>187.57499999999999</v>
      </c>
      <c r="K54" s="39">
        <f t="shared" si="0"/>
        <v>123.79949999999999</v>
      </c>
      <c r="L54" s="40"/>
      <c r="M54" s="51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hidden="1" customHeight="1" outlineLevel="1">
      <c r="A55" s="43"/>
      <c r="B55" s="42" t="str">
        <f t="shared" si="33"/>
        <v>Bê tông chịu lực</v>
      </c>
      <c r="C55" s="45"/>
      <c r="D55" s="46"/>
      <c r="E55" s="46"/>
      <c r="F55" s="47">
        <f t="shared" ref="F55:H55" si="39">F48</f>
        <v>1</v>
      </c>
      <c r="G55" s="48">
        <f t="shared" si="39"/>
        <v>43.089672</v>
      </c>
      <c r="H55" s="48">
        <f t="shared" si="39"/>
        <v>1</v>
      </c>
      <c r="I55" s="48"/>
      <c r="J55" s="48">
        <f t="shared" si="35"/>
        <v>187.57499999999999</v>
      </c>
      <c r="K55" s="39">
        <f t="shared" si="0"/>
        <v>8082.5451999999996</v>
      </c>
      <c r="L55" s="40">
        <f>IF(C55&lt;&gt;0,ROUND(SUM(K55:INDEX($K55:K$210,MATCH("*",$C56:C$210,0),1)),4),0)</f>
        <v>0</v>
      </c>
      <c r="M55" s="51">
        <f t="shared" ref="M55:M57" si="40">D55*L55</f>
        <v>0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hidden="1" customHeight="1" outlineLevel="1">
      <c r="A56" s="67"/>
      <c r="B56" s="42" t="str">
        <f t="shared" ref="B56:B57" si="41">B33</f>
        <v>Tường xây dày &lt;=30</v>
      </c>
      <c r="C56" s="45"/>
      <c r="D56" s="46"/>
      <c r="E56" s="46"/>
      <c r="F56" s="47">
        <f t="shared" ref="F56:G56" si="42">F33</f>
        <v>1</v>
      </c>
      <c r="G56" s="48">
        <f t="shared" si="42"/>
        <v>7.4754995192307687</v>
      </c>
      <c r="H56" s="48"/>
      <c r="I56" s="48"/>
      <c r="J56" s="52">
        <f>0.17*275*1.05</f>
        <v>49.087499999999999</v>
      </c>
      <c r="K56" s="39">
        <f t="shared" si="0"/>
        <v>366.95359999999999</v>
      </c>
      <c r="L56" s="40">
        <f>IF(C56&lt;&gt;0,ROUND(SUM(K56:INDEX($K56:K$210,MATCH("*",$C57:C$210,0),1)),4),0)</f>
        <v>0</v>
      </c>
      <c r="M56" s="51">
        <f t="shared" si="40"/>
        <v>0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hidden="1" customHeight="1" outlineLevel="1">
      <c r="A57" s="67"/>
      <c r="B57" s="42" t="str">
        <f t="shared" si="41"/>
        <v>Tường xây dày &lt;=10</v>
      </c>
      <c r="C57" s="45"/>
      <c r="D57" s="46"/>
      <c r="E57" s="46"/>
      <c r="F57" s="47">
        <f t="shared" ref="F57:G57" si="43">F34</f>
        <v>1</v>
      </c>
      <c r="G57" s="48">
        <f t="shared" si="43"/>
        <v>24.229526538461538</v>
      </c>
      <c r="H57" s="48"/>
      <c r="I57" s="52"/>
      <c r="J57" s="52">
        <f>0.2*275*1.05</f>
        <v>57.75</v>
      </c>
      <c r="K57" s="39">
        <f t="shared" si="0"/>
        <v>1399.2552000000001</v>
      </c>
      <c r="L57" s="40">
        <f t="array" ref="L57">IF(C57&lt;&gt;0,ROUND(SUM(K57:INDEX($K57:K$210,MATCH("*",C59:$C$210,0),1)),4),0)</f>
        <v>0</v>
      </c>
      <c r="M57" s="51">
        <f t="shared" si="40"/>
        <v>0</v>
      </c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hidden="1" customHeight="1" outlineLevel="1">
      <c r="A58" s="67"/>
      <c r="B58" s="42" t="str">
        <f>B70</f>
        <v>Bậc thang</v>
      </c>
      <c r="C58" s="45"/>
      <c r="D58" s="46"/>
      <c r="E58" s="46"/>
      <c r="F58" s="47">
        <v>1</v>
      </c>
      <c r="G58" s="48">
        <f>SUMPRODUCT(F71:F72,G71:G72,H71:H72,I71:I72)</f>
        <v>0.50528571428571434</v>
      </c>
      <c r="H58" s="48"/>
      <c r="I58" s="52"/>
      <c r="J58" s="52">
        <f>0.328*275</f>
        <v>90.2</v>
      </c>
      <c r="K58" s="53">
        <f t="shared" si="0"/>
        <v>45.576799999999999</v>
      </c>
      <c r="L58" s="40"/>
      <c r="M58" s="41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hidden="1" customHeight="1" outlineLevel="1">
      <c r="A59" s="67"/>
      <c r="B59" s="42" t="str">
        <f t="shared" ref="B59:B64" si="44">B36</f>
        <v>Diện tích láng nền sân</v>
      </c>
      <c r="C59" s="45"/>
      <c r="D59" s="46"/>
      <c r="E59" s="46"/>
      <c r="F59" s="47">
        <f t="shared" ref="F59:G59" si="45">F36</f>
        <v>1</v>
      </c>
      <c r="G59" s="48">
        <f t="shared" si="45"/>
        <v>27.580500000000001</v>
      </c>
      <c r="H59" s="48"/>
      <c r="I59" s="48"/>
      <c r="J59" s="50">
        <f>0.035*275</f>
        <v>9.6250000000000018</v>
      </c>
      <c r="K59" s="39">
        <f t="shared" si="0"/>
        <v>265.46230000000003</v>
      </c>
      <c r="L59" s="40">
        <f>IF(C59&lt;&gt;0,ROUND(SUM(K59:INDEX($K59:K$210,MATCH("*",$C60:C$210,0),1)),4),0)</f>
        <v>0</v>
      </c>
      <c r="M59" s="51">
        <f t="shared" ref="M59:M66" si="46">D59*L59</f>
        <v>0</v>
      </c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hidden="1" customHeight="1" outlineLevel="1">
      <c r="A60" s="67"/>
      <c r="B60" s="55" t="str">
        <f t="shared" si="44"/>
        <v>Diện tích láng nền vệ sinh</v>
      </c>
      <c r="C60" s="56"/>
      <c r="D60" s="57"/>
      <c r="E60" s="57"/>
      <c r="F60" s="58">
        <f t="shared" ref="F60:G60" si="47">F37</f>
        <v>1</v>
      </c>
      <c r="G60" s="54">
        <f t="shared" si="47"/>
        <v>5.8162000000000003</v>
      </c>
      <c r="H60" s="54"/>
      <c r="I60" s="54"/>
      <c r="J60" s="50">
        <f>0.035*273</f>
        <v>9.5550000000000015</v>
      </c>
      <c r="K60" s="39">
        <f t="shared" si="0"/>
        <v>55.573799999999999</v>
      </c>
      <c r="L60" s="40">
        <f>IF(C60&lt;&gt;0,ROUND(SUM(K60:INDEX($K60:K$210,MATCH("*",$C61:C$210,0),1)),4),0)</f>
        <v>0</v>
      </c>
      <c r="M60" s="51">
        <f t="shared" si="46"/>
        <v>0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hidden="1" customHeight="1" outlineLevel="1">
      <c r="A61" s="67"/>
      <c r="B61" s="42" t="str">
        <f t="shared" si="44"/>
        <v>Diện tích láng nền nhà</v>
      </c>
      <c r="C61" s="45"/>
      <c r="D61" s="46"/>
      <c r="E61" s="46"/>
      <c r="F61" s="47">
        <f t="shared" ref="F61:G61" si="48">F38</f>
        <v>1</v>
      </c>
      <c r="G61" s="48">
        <f t="shared" si="48"/>
        <v>88.770099999999985</v>
      </c>
      <c r="H61" s="48"/>
      <c r="I61" s="48"/>
      <c r="J61" s="50">
        <f>0.025*275</f>
        <v>6.875</v>
      </c>
      <c r="K61" s="39">
        <f t="shared" si="0"/>
        <v>610.2944</v>
      </c>
      <c r="L61" s="40">
        <f>IF(C61&lt;&gt;0,ROUND(SUM(K61:INDEX($K61:K$210,MATCH("*",$C62:C$210,0),1)),4),0)</f>
        <v>0</v>
      </c>
      <c r="M61" s="51">
        <f t="shared" si="46"/>
        <v>0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hidden="1" customHeight="1" outlineLevel="1">
      <c r="A62" s="67"/>
      <c r="B62" s="42" t="str">
        <f t="shared" si="44"/>
        <v>Diện tích trát tường khi ốp gạch</v>
      </c>
      <c r="C62" s="45"/>
      <c r="D62" s="46"/>
      <c r="E62" s="46"/>
      <c r="F62" s="47">
        <f t="shared" ref="F62:G62" si="49">F39</f>
        <v>1</v>
      </c>
      <c r="G62" s="48">
        <f t="shared" si="49"/>
        <v>49.037599999999998</v>
      </c>
      <c r="H62" s="48"/>
      <c r="I62" s="48"/>
      <c r="J62" s="50">
        <f t="shared" ref="J62:J63" si="50">0.017*275</f>
        <v>4.6750000000000007</v>
      </c>
      <c r="K62" s="39">
        <f t="shared" si="0"/>
        <v>229.2508</v>
      </c>
      <c r="L62" s="40">
        <f>IF(C62&lt;&gt;0,ROUND(SUM(K62:INDEX($K62:K$210,MATCH("*",$C63:C$210,0),1)),4),0)</f>
        <v>0</v>
      </c>
      <c r="M62" s="51">
        <f t="shared" si="46"/>
        <v>0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hidden="1" customHeight="1" outlineLevel="1">
      <c r="A63" s="67"/>
      <c r="B63" s="42" t="str">
        <f t="shared" si="44"/>
        <v>Diện tích sơn nước</v>
      </c>
      <c r="C63" s="45"/>
      <c r="D63" s="46"/>
      <c r="E63" s="46"/>
      <c r="F63" s="47">
        <f t="shared" ref="F63:G63" si="51">F40</f>
        <v>1</v>
      </c>
      <c r="G63" s="68">
        <f t="shared" si="51"/>
        <v>668.55268664842993</v>
      </c>
      <c r="H63" s="48"/>
      <c r="I63" s="48"/>
      <c r="J63" s="50">
        <f t="shared" si="50"/>
        <v>4.6750000000000007</v>
      </c>
      <c r="K63" s="39">
        <f t="shared" si="0"/>
        <v>3125.4838</v>
      </c>
      <c r="L63" s="40">
        <f>IF(C63&lt;&gt;0,ROUND(SUM(K63:INDEX($K63:K$210,MATCH("*",$C64:C$210,0),1)),4),0)</f>
        <v>0</v>
      </c>
      <c r="M63" s="51">
        <f t="shared" si="46"/>
        <v>0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hidden="1" customHeight="1" outlineLevel="1">
      <c r="A64" s="67"/>
      <c r="B64" s="42" t="str">
        <f t="shared" si="44"/>
        <v>Diện tích chống thấm</v>
      </c>
      <c r="C64" s="45"/>
      <c r="D64" s="46"/>
      <c r="E64" s="46"/>
      <c r="F64" s="47">
        <f t="shared" ref="F64:G64" si="52">F41</f>
        <v>1</v>
      </c>
      <c r="G64" s="48">
        <f t="shared" si="52"/>
        <v>12.6576</v>
      </c>
      <c r="H64" s="48"/>
      <c r="I64" s="48"/>
      <c r="J64" s="50">
        <f>0.035*273</f>
        <v>9.5550000000000015</v>
      </c>
      <c r="K64" s="39">
        <f t="shared" si="0"/>
        <v>120.9434</v>
      </c>
      <c r="L64" s="40">
        <f>IF(C64&lt;&gt;0,ROUND(SUM(K64:INDEX($K64:K$210,MATCH("*",$C65:C$210,0),1)),4),0)</f>
        <v>0</v>
      </c>
      <c r="M64" s="51">
        <f t="shared" si="46"/>
        <v>0</v>
      </c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collapsed="1">
      <c r="A65" s="43">
        <f>IF(C65="","",SUBTOTAL(103,$C$10:C65))</f>
        <v>5</v>
      </c>
      <c r="B65" s="59" t="s">
        <v>33</v>
      </c>
      <c r="C65" s="45" t="s">
        <v>34</v>
      </c>
      <c r="D65" s="46">
        <v>1550</v>
      </c>
      <c r="E65" s="46"/>
      <c r="F65" s="47"/>
      <c r="G65" s="48"/>
      <c r="H65" s="48"/>
      <c r="I65" s="48"/>
      <c r="J65" s="48"/>
      <c r="K65" s="39">
        <f t="shared" si="0"/>
        <v>0</v>
      </c>
      <c r="L65" s="40">
        <f>IF(C65&lt;&gt;0,ROUND(SUM(K65:INDEX($K65:K$210,MATCH("*",$C66:C$210,0),1)),4),0)</f>
        <v>21925.3819</v>
      </c>
      <c r="M65" s="51">
        <f t="shared" si="46"/>
        <v>33984341.945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hidden="1" customHeight="1" outlineLevel="1">
      <c r="A66" s="69"/>
      <c r="B66" s="42" t="s">
        <v>35</v>
      </c>
      <c r="C66" s="70"/>
      <c r="D66" s="71"/>
      <c r="E66" s="71"/>
      <c r="F66" s="47"/>
      <c r="G66" s="48"/>
      <c r="H66" s="48"/>
      <c r="I66" s="48"/>
      <c r="J66" s="48"/>
      <c r="K66" s="39">
        <f t="shared" si="0"/>
        <v>0</v>
      </c>
      <c r="L66" s="40">
        <f t="array" ref="L66">IF(C66&lt;&gt;0,ROUND(SUM(K66:INDEX($K66:K$210,MATCH("*",C68:$C$210,0),1)),4),0)</f>
        <v>0</v>
      </c>
      <c r="M66" s="51">
        <f t="shared" si="46"/>
        <v>0</v>
      </c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</row>
    <row r="67" spans="1:26" ht="15.75" hidden="1" customHeight="1" outlineLevel="1">
      <c r="A67" s="69"/>
      <c r="B67" s="42" t="s">
        <v>36</v>
      </c>
      <c r="C67" s="70"/>
      <c r="D67" s="71"/>
      <c r="E67" s="71"/>
      <c r="F67" s="47">
        <v>1</v>
      </c>
      <c r="G67" s="48">
        <f>7.85305/130*(SUM(L205:L206,L208))</f>
        <v>7.4754995192307687</v>
      </c>
      <c r="H67" s="48"/>
      <c r="I67" s="48"/>
      <c r="J67" s="71">
        <v>649</v>
      </c>
      <c r="K67" s="39">
        <f t="shared" si="0"/>
        <v>4851.5991999999997</v>
      </c>
      <c r="L67" s="40"/>
      <c r="M67" s="51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</row>
    <row r="68" spans="1:26" ht="15.75" hidden="1" customHeight="1" outlineLevel="1">
      <c r="A68" s="69"/>
      <c r="B68" s="42" t="s">
        <v>37</v>
      </c>
      <c r="C68" s="70"/>
      <c r="D68" s="71"/>
      <c r="E68" s="71"/>
      <c r="F68" s="47"/>
      <c r="G68" s="48"/>
      <c r="H68" s="48"/>
      <c r="I68" s="48"/>
      <c r="J68" s="48"/>
      <c r="K68" s="39">
        <f t="shared" si="0"/>
        <v>0</v>
      </c>
      <c r="L68" s="40">
        <f t="array" ref="L68">IF(C68&lt;&gt;0,ROUND(SUM(K68:INDEX($K68:K$210,MATCH("*",C69:$C$210,0),1)),4),0)</f>
        <v>0</v>
      </c>
      <c r="M68" s="51">
        <f t="shared" ref="M68:M69" si="53">D68*L68</f>
        <v>0</v>
      </c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</row>
    <row r="69" spans="1:26" ht="15.75" hidden="1" customHeight="1" outlineLevel="1">
      <c r="A69" s="69"/>
      <c r="B69" s="42" t="s">
        <v>36</v>
      </c>
      <c r="C69" s="70"/>
      <c r="D69" s="71"/>
      <c r="E69" s="71"/>
      <c r="F69" s="47">
        <v>1</v>
      </c>
      <c r="G69" s="48">
        <f>25.45324/130*(SUM(L205:L206,L208))</f>
        <v>24.229526538461538</v>
      </c>
      <c r="H69" s="48"/>
      <c r="I69" s="48"/>
      <c r="J69" s="71">
        <v>682</v>
      </c>
      <c r="K69" s="39">
        <f t="shared" si="0"/>
        <v>16524.537100000001</v>
      </c>
      <c r="L69" s="40">
        <f t="array" ref="L69">IF(C69&lt;&gt;0,ROUND(SUM(K69:INDEX($K69:K$210,MATCH("*",C77:$C$210,0),1)),4),0)</f>
        <v>0</v>
      </c>
      <c r="M69" s="51">
        <f t="shared" si="53"/>
        <v>0</v>
      </c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</row>
    <row r="70" spans="1:26" ht="15.75" hidden="1" customHeight="1" outlineLevel="1">
      <c r="A70" s="69"/>
      <c r="B70" s="42" t="s">
        <v>38</v>
      </c>
      <c r="C70" s="70"/>
      <c r="D70" s="71"/>
      <c r="E70" s="71"/>
      <c r="F70" s="47"/>
      <c r="G70" s="48"/>
      <c r="H70" s="48"/>
      <c r="I70" s="48"/>
      <c r="J70" s="71"/>
      <c r="K70" s="39">
        <f t="shared" si="0"/>
        <v>0</v>
      </c>
      <c r="L70" s="40"/>
      <c r="M70" s="51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</row>
    <row r="71" spans="1:26" ht="15.75" hidden="1" customHeight="1" outlineLevel="1">
      <c r="A71" s="69"/>
      <c r="B71" s="42" t="s">
        <v>39</v>
      </c>
      <c r="C71" s="70"/>
      <c r="D71" s="71"/>
      <c r="E71" s="71"/>
      <c r="F71" s="47">
        <v>19</v>
      </c>
      <c r="G71" s="48">
        <f>0.9</f>
        <v>0.9</v>
      </c>
      <c r="H71" s="48">
        <f>0.25</f>
        <v>0.25</v>
      </c>
      <c r="I71" s="48">
        <f>3.6/21/2</f>
        <v>8.5714285714285715E-2</v>
      </c>
      <c r="J71" s="71">
        <v>1087</v>
      </c>
      <c r="K71" s="39">
        <f t="shared" si="0"/>
        <v>398.30790000000002</v>
      </c>
      <c r="L71" s="40"/>
      <c r="M71" s="51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</row>
    <row r="72" spans="1:26" ht="15.75" hidden="1" customHeight="1" outlineLevel="1">
      <c r="A72" s="69"/>
      <c r="B72" s="42"/>
      <c r="C72" s="70"/>
      <c r="D72" s="71"/>
      <c r="E72" s="71"/>
      <c r="F72" s="47">
        <v>1</v>
      </c>
      <c r="G72" s="48">
        <v>0.9</v>
      </c>
      <c r="H72" s="48">
        <v>0.9</v>
      </c>
      <c r="I72" s="48">
        <f>3.6/21</f>
        <v>0.17142857142857143</v>
      </c>
      <c r="J72" s="71">
        <v>1087</v>
      </c>
      <c r="K72" s="39">
        <f t="shared" si="0"/>
        <v>150.93770000000001</v>
      </c>
      <c r="L72" s="40"/>
      <c r="M72" s="51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</row>
    <row r="73" spans="1:26" ht="15.75" customHeight="1" collapsed="1">
      <c r="A73" s="43">
        <f t="shared" ref="A73:A75" si="54">IF(C73="","",SUBTOTAL(103,$C$10:C73))</f>
        <v>6</v>
      </c>
      <c r="B73" s="73" t="s">
        <v>40</v>
      </c>
      <c r="C73" s="56" t="s">
        <v>41</v>
      </c>
      <c r="D73" s="74">
        <f>215000</f>
        <v>215000</v>
      </c>
      <c r="E73" s="74"/>
      <c r="F73" s="58"/>
      <c r="G73" s="75"/>
      <c r="H73" s="75"/>
      <c r="I73" s="75"/>
      <c r="J73" s="75"/>
      <c r="K73" s="39">
        <f t="shared" si="0"/>
        <v>0</v>
      </c>
      <c r="L73" s="40">
        <f>IF(C73&lt;&gt;0,ROUND(SUM(K73:INDEX($K73:K$220,MATCH("*",$C74:C$220,0),1)),4),0)</f>
        <v>70.312700000000007</v>
      </c>
      <c r="M73" s="51">
        <f t="shared" ref="M73:M89" si="55">D73*L73</f>
        <v>15117230.500000002</v>
      </c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hidden="1" customHeight="1" outlineLevel="1">
      <c r="A74" s="43" t="str">
        <f t="shared" si="54"/>
        <v/>
      </c>
      <c r="B74" s="73"/>
      <c r="C74" s="56"/>
      <c r="D74" s="74"/>
      <c r="E74" s="74"/>
      <c r="F74" s="58">
        <v>1</v>
      </c>
      <c r="G74" s="76">
        <f>10.634+0.2</f>
        <v>10.834</v>
      </c>
      <c r="H74" s="75">
        <v>5.5</v>
      </c>
      <c r="I74" s="75"/>
      <c r="J74" s="75">
        <v>1.18</v>
      </c>
      <c r="K74" s="39">
        <f t="shared" si="0"/>
        <v>70.312700000000007</v>
      </c>
      <c r="L74" s="40">
        <f>IF(C74&lt;&gt;0,ROUND(SUM(K74:INDEX($K74:K$220,MATCH("*",$C75:C$220,0),1)),4),0)</f>
        <v>0</v>
      </c>
      <c r="M74" s="51">
        <f t="shared" si="55"/>
        <v>0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collapsed="1">
      <c r="A75" s="43">
        <f t="shared" si="54"/>
        <v>7</v>
      </c>
      <c r="B75" s="73" t="s">
        <v>42</v>
      </c>
      <c r="C75" s="56" t="s">
        <v>43</v>
      </c>
      <c r="D75" s="74">
        <f>(0.05*2+0.1*2)*2*7.85*6*31500</f>
        <v>890190.00000000012</v>
      </c>
      <c r="E75" s="74"/>
      <c r="F75" s="58"/>
      <c r="G75" s="75"/>
      <c r="H75" s="75"/>
      <c r="I75" s="75"/>
      <c r="J75" s="75"/>
      <c r="K75" s="39">
        <f t="shared" si="0"/>
        <v>0</v>
      </c>
      <c r="L75" s="40">
        <f>IF(C75&lt;&gt;0,ROUND(SUM(K75:INDEX($K75:K$220,MATCH("*",$C76:C$220,0),1)),4),0)</f>
        <v>10</v>
      </c>
      <c r="M75" s="51">
        <f t="shared" si="55"/>
        <v>8901900.0000000019</v>
      </c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hidden="1" customHeight="1" outlineLevel="1">
      <c r="A76" s="43"/>
      <c r="B76" s="73"/>
      <c r="C76" s="56"/>
      <c r="D76" s="74"/>
      <c r="E76" s="74"/>
      <c r="F76" s="58">
        <v>1</v>
      </c>
      <c r="G76" s="75">
        <v>10</v>
      </c>
      <c r="H76" s="75"/>
      <c r="I76" s="75"/>
      <c r="J76" s="75"/>
      <c r="K76" s="39">
        <f t="shared" si="0"/>
        <v>10</v>
      </c>
      <c r="L76" s="40">
        <f>IF(C76&lt;&gt;0,ROUND(SUM(K76:INDEX($K76:K$220,MATCH("*",$C77:C$220,0),1)),4),0)</f>
        <v>0</v>
      </c>
      <c r="M76" s="51">
        <f t="shared" si="55"/>
        <v>0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collapsed="1">
      <c r="A77" s="43">
        <f>IF(C77="","",SUBTOTAL(103,$C$10:C77))</f>
        <v>8</v>
      </c>
      <c r="B77" s="59" t="s">
        <v>44</v>
      </c>
      <c r="C77" s="45" t="s">
        <v>16</v>
      </c>
      <c r="D77" s="46">
        <f>21160*1.1*1.02</f>
        <v>23741.520000000004</v>
      </c>
      <c r="E77" s="46"/>
      <c r="F77" s="47"/>
      <c r="G77" s="48"/>
      <c r="H77" s="48"/>
      <c r="I77" s="48"/>
      <c r="J77" s="48"/>
      <c r="K77" s="39">
        <f t="shared" si="0"/>
        <v>0</v>
      </c>
      <c r="L77" s="40">
        <f>IF(C77&lt;&gt;0,ROUND(SUM(K77:INDEX($K77:K$210,MATCH("*",$C78:C$210,0),1)),4),0)</f>
        <v>6723.1385</v>
      </c>
      <c r="M77" s="51">
        <f t="shared" si="55"/>
        <v>159617527.16052002</v>
      </c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hidden="1" customHeight="1" outlineLevel="1">
      <c r="A78" s="43"/>
      <c r="B78" s="42" t="s">
        <v>45</v>
      </c>
      <c r="C78" s="45"/>
      <c r="D78" s="46"/>
      <c r="E78" s="46"/>
      <c r="F78" s="47"/>
      <c r="G78" s="48"/>
      <c r="H78" s="48"/>
      <c r="I78" s="48"/>
      <c r="J78" s="48"/>
      <c r="K78" s="39">
        <f t="shared" si="0"/>
        <v>0</v>
      </c>
      <c r="L78" s="40">
        <f>IF(C78&lt;&gt;0,ROUND(SUM(K78:INDEX($K78:K$210,MATCH("*",$C79:C$210,0),1)),4),0)</f>
        <v>0</v>
      </c>
      <c r="M78" s="51">
        <f t="shared" si="55"/>
        <v>0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hidden="1" customHeight="1" outlineLevel="1">
      <c r="A79" s="43"/>
      <c r="B79" s="42" t="s">
        <v>46</v>
      </c>
      <c r="C79" s="45"/>
      <c r="D79" s="46"/>
      <c r="E79" s="46"/>
      <c r="F79" s="47">
        <v>4</v>
      </c>
      <c r="G79" s="48">
        <v>0.8</v>
      </c>
      <c r="H79" s="48">
        <v>0.8</v>
      </c>
      <c r="I79" s="48">
        <v>0.2</v>
      </c>
      <c r="J79" s="71">
        <v>65</v>
      </c>
      <c r="K79" s="39">
        <f t="shared" si="0"/>
        <v>33.28</v>
      </c>
      <c r="L79" s="40">
        <f>IF(C79&lt;&gt;0,ROUND(SUM(K79:INDEX($K79:K$210,MATCH("*",$C80:C$210,0),1)),4),0)</f>
        <v>0</v>
      </c>
      <c r="M79" s="51">
        <f t="shared" si="55"/>
        <v>0</v>
      </c>
      <c r="N79" s="77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hidden="1" customHeight="1" outlineLevel="1">
      <c r="A80" s="43"/>
      <c r="B80" s="42"/>
      <c r="C80" s="45"/>
      <c r="D80" s="46"/>
      <c r="E80" s="46"/>
      <c r="F80" s="47">
        <f>F79</f>
        <v>4</v>
      </c>
      <c r="G80" s="48">
        <f>G79*H79+0.25*0.25+(G79+0.25)*(H79+0.25)</f>
        <v>1.8050000000000002</v>
      </c>
      <c r="H80" s="48">
        <f>1/6</f>
        <v>0.16666666666666666</v>
      </c>
      <c r="I80" s="48">
        <v>0.15</v>
      </c>
      <c r="J80" s="71">
        <v>65</v>
      </c>
      <c r="K80" s="39">
        <f t="shared" si="0"/>
        <v>11.7325</v>
      </c>
      <c r="L80" s="40">
        <f>IF(C80&lt;&gt;0,ROUND(SUM(K80:INDEX($K80:K$210,MATCH("*",$C81:C$210,0),1)),4),0)</f>
        <v>0</v>
      </c>
      <c r="M80" s="51">
        <f t="shared" si="55"/>
        <v>0</v>
      </c>
      <c r="N80" s="77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hidden="1" customHeight="1" outlineLevel="1">
      <c r="A81" s="43"/>
      <c r="B81" s="42" t="s">
        <v>47</v>
      </c>
      <c r="C81" s="45"/>
      <c r="D81" s="46"/>
      <c r="E81" s="46"/>
      <c r="F81" s="47">
        <v>1</v>
      </c>
      <c r="G81" s="48">
        <v>0.8</v>
      </c>
      <c r="H81" s="48">
        <v>5.5</v>
      </c>
      <c r="I81" s="48">
        <v>0.2</v>
      </c>
      <c r="J81" s="71">
        <v>80</v>
      </c>
      <c r="K81" s="39">
        <f t="shared" si="0"/>
        <v>70.400000000000006</v>
      </c>
      <c r="L81" s="40">
        <f>IF(C81&lt;&gt;0,ROUND(SUM(K81:INDEX($K81:K$210,MATCH("*",$C82:C$210,0),1)),4),0)</f>
        <v>0</v>
      </c>
      <c r="M81" s="51">
        <f t="shared" si="55"/>
        <v>0</v>
      </c>
      <c r="N81" s="77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hidden="1" customHeight="1" outlineLevel="1">
      <c r="A82" s="43"/>
      <c r="B82" s="42"/>
      <c r="C82" s="45"/>
      <c r="D82" s="46"/>
      <c r="E82" s="46"/>
      <c r="F82" s="47">
        <f t="shared" ref="F82:F83" si="56">F81</f>
        <v>1</v>
      </c>
      <c r="G82" s="48">
        <f>G81/2+0.4/2</f>
        <v>0.60000000000000009</v>
      </c>
      <c r="H82" s="48">
        <f t="shared" ref="H82:H83" si="57">H81</f>
        <v>5.5</v>
      </c>
      <c r="I82" s="48">
        <f>0.3</f>
        <v>0.3</v>
      </c>
      <c r="J82" s="71">
        <v>80</v>
      </c>
      <c r="K82" s="39">
        <f t="shared" si="0"/>
        <v>79.2</v>
      </c>
      <c r="L82" s="40">
        <f>IF(C82&lt;&gt;0,ROUND(SUM(K82:INDEX($K82:K$210,MATCH("*",$C83:C$210,0),1)),4),0)</f>
        <v>0</v>
      </c>
      <c r="M82" s="51">
        <f t="shared" si="55"/>
        <v>0</v>
      </c>
      <c r="N82" s="77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hidden="1" customHeight="1" outlineLevel="1">
      <c r="A83" s="43"/>
      <c r="B83" s="42"/>
      <c r="C83" s="45"/>
      <c r="D83" s="46"/>
      <c r="E83" s="46"/>
      <c r="F83" s="47">
        <f t="shared" si="56"/>
        <v>1</v>
      </c>
      <c r="G83" s="48">
        <f>0.3</f>
        <v>0.3</v>
      </c>
      <c r="H83" s="48">
        <f t="shared" si="57"/>
        <v>5.5</v>
      </c>
      <c r="I83" s="48">
        <f>0.7-I82-I81</f>
        <v>0.19999999999999996</v>
      </c>
      <c r="J83" s="71">
        <v>80</v>
      </c>
      <c r="K83" s="39">
        <f t="shared" si="0"/>
        <v>26.4</v>
      </c>
      <c r="L83" s="40">
        <f t="array" ref="L83">IF(C83&lt;&gt;0,ROUND(SUM(K83:INDEX($K83:K$210,MATCH("*",C90:$C$210,0),1)),4),0)</f>
        <v>0</v>
      </c>
      <c r="M83" s="51">
        <f t="shared" si="55"/>
        <v>0</v>
      </c>
      <c r="N83" s="77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hidden="1" customHeight="1" outlineLevel="1">
      <c r="A84" s="43"/>
      <c r="B84" s="42" t="s">
        <v>48</v>
      </c>
      <c r="C84" s="45"/>
      <c r="D84" s="46"/>
      <c r="E84" s="46"/>
      <c r="F84" s="47">
        <v>1</v>
      </c>
      <c r="G84" s="48">
        <v>1.2</v>
      </c>
      <c r="H84" s="48">
        <v>5.5</v>
      </c>
      <c r="I84" s="48">
        <v>0.25</v>
      </c>
      <c r="J84" s="71">
        <v>80</v>
      </c>
      <c r="K84" s="39">
        <f t="shared" si="0"/>
        <v>132</v>
      </c>
      <c r="L84" s="40">
        <f>IF(C84&lt;&gt;0,ROUND(SUM(K84:INDEX($K84:K$210,MATCH("*",$C85:C$210,0),1)),4),0)</f>
        <v>0</v>
      </c>
      <c r="M84" s="51">
        <f t="shared" si="55"/>
        <v>0</v>
      </c>
      <c r="N84" s="78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hidden="1" customHeight="1" outlineLevel="1">
      <c r="A85" s="43"/>
      <c r="B85" s="42"/>
      <c r="C85" s="45"/>
      <c r="D85" s="46"/>
      <c r="E85" s="46"/>
      <c r="F85" s="47">
        <f t="shared" ref="F85:F86" si="58">F84</f>
        <v>1</v>
      </c>
      <c r="G85" s="48">
        <f>G84/2+0.4/2</f>
        <v>0.8</v>
      </c>
      <c r="H85" s="48">
        <f t="shared" ref="H85:H86" si="59">H84</f>
        <v>5.5</v>
      </c>
      <c r="I85" s="48">
        <v>0.25</v>
      </c>
      <c r="J85" s="71">
        <v>80</v>
      </c>
      <c r="K85" s="39">
        <f t="shared" si="0"/>
        <v>88</v>
      </c>
      <c r="L85" s="40">
        <f>IF(C85&lt;&gt;0,ROUND(SUM(K85:INDEX($K85:K$210,MATCH("*",$C86:C$210,0),1)),4),0)</f>
        <v>0</v>
      </c>
      <c r="M85" s="51">
        <f t="shared" si="55"/>
        <v>0</v>
      </c>
      <c r="N85" s="77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hidden="1" customHeight="1" outlineLevel="1">
      <c r="A86" s="43"/>
      <c r="B86" s="42"/>
      <c r="C86" s="45"/>
      <c r="D86" s="46"/>
      <c r="E86" s="46"/>
      <c r="F86" s="47">
        <f t="shared" si="58"/>
        <v>1</v>
      </c>
      <c r="G86" s="48">
        <f>0.3</f>
        <v>0.3</v>
      </c>
      <c r="H86" s="48">
        <f t="shared" si="59"/>
        <v>5.5</v>
      </c>
      <c r="I86" s="48">
        <f>0.7-I85-I84</f>
        <v>0.19999999999999996</v>
      </c>
      <c r="J86" s="71">
        <v>80</v>
      </c>
      <c r="K86" s="39">
        <f t="shared" si="0"/>
        <v>26.4</v>
      </c>
      <c r="L86" s="40">
        <f t="array" ref="L86">IF(C86&lt;&gt;0,ROUND(SUM(K86:INDEX($K86:K$210,MATCH("*",C91:$C$210,0),1)),4),0)</f>
        <v>0</v>
      </c>
      <c r="M86" s="51">
        <f t="shared" si="55"/>
        <v>0</v>
      </c>
      <c r="N86" s="77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hidden="1" customHeight="1" outlineLevel="1">
      <c r="A87" s="43"/>
      <c r="B87" s="42" t="s">
        <v>49</v>
      </c>
      <c r="C87" s="45"/>
      <c r="D87" s="46"/>
      <c r="E87" s="46"/>
      <c r="F87" s="47">
        <v>1</v>
      </c>
      <c r="G87" s="48">
        <v>1</v>
      </c>
      <c r="H87" s="48">
        <v>5.5</v>
      </c>
      <c r="I87" s="48">
        <v>0.25</v>
      </c>
      <c r="J87" s="71">
        <v>80</v>
      </c>
      <c r="K87" s="39">
        <f t="shared" si="0"/>
        <v>110</v>
      </c>
      <c r="L87" s="40">
        <f>IF(C87&lt;&gt;0,ROUND(SUM(K87:INDEX($K87:K$210,MATCH("*",$C88:C$210,0),1)),4),0)</f>
        <v>0</v>
      </c>
      <c r="M87" s="51">
        <f t="shared" si="55"/>
        <v>0</v>
      </c>
      <c r="N87" s="78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hidden="1" customHeight="1" outlineLevel="1">
      <c r="A88" s="43"/>
      <c r="B88" s="42"/>
      <c r="C88" s="45"/>
      <c r="D88" s="46"/>
      <c r="E88" s="46"/>
      <c r="F88" s="47">
        <f t="shared" ref="F88:F89" si="60">F87</f>
        <v>1</v>
      </c>
      <c r="G88" s="48">
        <f>G87/2+0.4/2</f>
        <v>0.7</v>
      </c>
      <c r="H88" s="48">
        <f t="shared" ref="H88:H89" si="61">H87</f>
        <v>5.5</v>
      </c>
      <c r="I88" s="48">
        <v>0.25</v>
      </c>
      <c r="J88" s="71">
        <v>80</v>
      </c>
      <c r="K88" s="39">
        <f t="shared" si="0"/>
        <v>77</v>
      </c>
      <c r="L88" s="40">
        <f>IF(C88&lt;&gt;0,ROUND(SUM(K88:INDEX($K88:K$210,MATCH("*",$C89:C$210,0),1)),4),0)</f>
        <v>0</v>
      </c>
      <c r="M88" s="51">
        <f t="shared" si="55"/>
        <v>0</v>
      </c>
      <c r="N88" s="77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hidden="1" customHeight="1" outlineLevel="1">
      <c r="A89" s="43"/>
      <c r="B89" s="42"/>
      <c r="C89" s="45"/>
      <c r="D89" s="46"/>
      <c r="E89" s="46"/>
      <c r="F89" s="47">
        <f t="shared" si="60"/>
        <v>1</v>
      </c>
      <c r="G89" s="48">
        <f>0.3</f>
        <v>0.3</v>
      </c>
      <c r="H89" s="48">
        <f t="shared" si="61"/>
        <v>5.5</v>
      </c>
      <c r="I89" s="48">
        <f>0.7-I88-I87</f>
        <v>0.19999999999999996</v>
      </c>
      <c r="J89" s="71">
        <v>80</v>
      </c>
      <c r="K89" s="39">
        <f t="shared" si="0"/>
        <v>26.4</v>
      </c>
      <c r="L89" s="40">
        <f t="array" ref="L89">IF(C89&lt;&gt;0,ROUND(SUM(K89:INDEX($K89:K$210,MATCH("*",C94:$C$210,0),1)),4),0)</f>
        <v>0</v>
      </c>
      <c r="M89" s="51">
        <f t="shared" si="55"/>
        <v>0</v>
      </c>
      <c r="N89" s="77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hidden="1" customHeight="1" outlineLevel="1">
      <c r="A90" s="43"/>
      <c r="B90" s="42" t="s">
        <v>50</v>
      </c>
      <c r="C90" s="45"/>
      <c r="D90" s="46"/>
      <c r="E90" s="46"/>
      <c r="F90" s="47">
        <v>1</v>
      </c>
      <c r="G90" s="48">
        <v>0.79654000000000003</v>
      </c>
      <c r="H90" s="48"/>
      <c r="I90" s="48"/>
      <c r="J90" s="71">
        <v>250</v>
      </c>
      <c r="K90" s="39">
        <f t="shared" si="0"/>
        <v>199.13499999999999</v>
      </c>
      <c r="L90" s="40"/>
      <c r="M90" s="51"/>
      <c r="N90" s="77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hidden="1" customHeight="1" outlineLevel="1">
      <c r="A91" s="43"/>
      <c r="B91" s="42" t="s">
        <v>51</v>
      </c>
      <c r="C91" s="45"/>
      <c r="D91" s="46"/>
      <c r="E91" s="46"/>
      <c r="F91" s="47">
        <v>1</v>
      </c>
      <c r="G91" s="48">
        <v>4.0254319999999995</v>
      </c>
      <c r="H91" s="48"/>
      <c r="I91" s="48"/>
      <c r="J91" s="71">
        <v>250</v>
      </c>
      <c r="K91" s="39">
        <f t="shared" si="0"/>
        <v>1006.3579999999999</v>
      </c>
      <c r="L91" s="40">
        <f>IF(C91&lt;&gt;0,ROUND(SUM(K91:INDEX($K91:K$210,MATCH("*",$C92:C$210,0),1)),4),0)</f>
        <v>0</v>
      </c>
      <c r="M91" s="51">
        <f t="shared" ref="M91:M95" si="62">D91*L91</f>
        <v>0</v>
      </c>
      <c r="N91" s="77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hidden="1" customHeight="1" outlineLevel="1">
      <c r="A92" s="43"/>
      <c r="B92" s="42" t="s">
        <v>52</v>
      </c>
      <c r="C92" s="45"/>
      <c r="D92" s="46"/>
      <c r="E92" s="46"/>
      <c r="F92" s="47">
        <v>1</v>
      </c>
      <c r="G92" s="48">
        <v>14.509512000000001</v>
      </c>
      <c r="H92" s="48"/>
      <c r="I92" s="48"/>
      <c r="J92" s="71">
        <v>250</v>
      </c>
      <c r="K92" s="39">
        <f t="shared" si="0"/>
        <v>3627.3780000000002</v>
      </c>
      <c r="L92" s="40">
        <f>IF(C92&lt;&gt;0,ROUND(SUM(K92:INDEX($K92:K$210,MATCH("*",$C93:C$210,0),1)),4),0)</f>
        <v>0</v>
      </c>
      <c r="M92" s="51">
        <f t="shared" si="62"/>
        <v>0</v>
      </c>
      <c r="N92" s="77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hidden="1" customHeight="1" outlineLevel="1">
      <c r="A93" s="79"/>
      <c r="B93" s="80" t="s">
        <v>53</v>
      </c>
      <c r="C93" s="81"/>
      <c r="D93" s="82"/>
      <c r="E93" s="82"/>
      <c r="F93" s="83">
        <v>1</v>
      </c>
      <c r="G93" s="84">
        <v>15.118188</v>
      </c>
      <c r="H93" s="84"/>
      <c r="I93" s="84"/>
      <c r="J93" s="85">
        <v>80</v>
      </c>
      <c r="K93" s="53">
        <f t="shared" si="0"/>
        <v>1209.4549999999999</v>
      </c>
      <c r="L93" s="86">
        <f t="array" ref="L93">IF(C93&lt;&gt;0,ROUND(SUM(K93:INDEX($K93:K$210,MATCH("*",C96:$C$210,0),1)),4),0)</f>
        <v>0</v>
      </c>
      <c r="M93" s="87">
        <f t="shared" si="62"/>
        <v>0</v>
      </c>
      <c r="N93" s="77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collapsed="1">
      <c r="A94" s="43">
        <f>IF(C94="","",SUBTOTAL(103,$C$10:C94))</f>
        <v>9</v>
      </c>
      <c r="B94" s="88" t="s">
        <v>54</v>
      </c>
      <c r="C94" s="56" t="s">
        <v>55</v>
      </c>
      <c r="D94" s="57">
        <v>200000</v>
      </c>
      <c r="E94" s="57"/>
      <c r="F94" s="58"/>
      <c r="G94" s="54"/>
      <c r="H94" s="54"/>
      <c r="I94" s="54"/>
      <c r="J94" s="54"/>
      <c r="K94" s="39">
        <f t="shared" si="0"/>
        <v>0</v>
      </c>
      <c r="L94" s="40">
        <f>IF(C94&lt;&gt;0,ROUND(SUM(K94:INDEX($K94:K$152,MATCH("*",$C95:C$152,0),1)),4),0)</f>
        <v>6</v>
      </c>
      <c r="M94" s="41">
        <f t="shared" si="62"/>
        <v>1200000</v>
      </c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hidden="1" customHeight="1" outlineLevel="1">
      <c r="A95" s="43"/>
      <c r="B95" s="60" t="s">
        <v>56</v>
      </c>
      <c r="C95" s="61"/>
      <c r="D95" s="62"/>
      <c r="E95" s="62"/>
      <c r="F95" s="63">
        <v>6</v>
      </c>
      <c r="G95" s="64">
        <v>1</v>
      </c>
      <c r="H95" s="64"/>
      <c r="I95" s="64"/>
      <c r="J95" s="64"/>
      <c r="K95" s="65">
        <f t="shared" si="0"/>
        <v>6</v>
      </c>
      <c r="L95" s="89">
        <f>IF(C95&lt;&gt;0,ROUND(SUM(K95:INDEX($K95:K$152,MATCH("*",$C96:C$152,0),1)),4),0)</f>
        <v>0</v>
      </c>
      <c r="M95" s="90">
        <f t="shared" si="62"/>
        <v>0</v>
      </c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26"/>
      <c r="B96" s="27" t="s">
        <v>57</v>
      </c>
      <c r="C96" s="27"/>
      <c r="D96" s="27"/>
      <c r="E96" s="27"/>
      <c r="F96" s="28"/>
      <c r="G96" s="29"/>
      <c r="H96" s="29"/>
      <c r="I96" s="29"/>
      <c r="J96" s="29"/>
      <c r="K96" s="29">
        <f t="shared" si="0"/>
        <v>0</v>
      </c>
      <c r="L96" s="27"/>
      <c r="M96" s="30">
        <f>SUBTOTAL(9,M97:M201)</f>
        <v>435525710.80000001</v>
      </c>
      <c r="N96" s="31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5.75" customHeight="1" collapsed="1">
      <c r="A97" s="33">
        <f t="shared" ref="A97:A98" si="63">IF(C97="","",SUBTOTAL(103,$C$97:C97))</f>
        <v>1</v>
      </c>
      <c r="B97" s="91" t="s">
        <v>58</v>
      </c>
      <c r="C97" s="92" t="s">
        <v>41</v>
      </c>
      <c r="D97" s="93">
        <v>416000</v>
      </c>
      <c r="E97" s="93"/>
      <c r="F97" s="94"/>
      <c r="G97" s="95"/>
      <c r="H97" s="95"/>
      <c r="I97" s="95"/>
      <c r="J97" s="95"/>
      <c r="K97" s="39">
        <f t="shared" si="0"/>
        <v>0</v>
      </c>
      <c r="L97" s="96">
        <f t="array" ref="L97">IF(C97&lt;&gt;0,ROUND(SUM(K97:INDEX($K97:K$210,MATCH("*",C98:$C$210,0),1)),4),0)</f>
        <v>51.072400000000002</v>
      </c>
      <c r="M97" s="41">
        <f t="shared" ref="M97:M98" si="64">D97*L97</f>
        <v>21246118.400000002</v>
      </c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hidden="1" customHeight="1" outlineLevel="1">
      <c r="A98" s="43" t="str">
        <f t="shared" si="63"/>
        <v/>
      </c>
      <c r="B98" s="97" t="s">
        <v>59</v>
      </c>
      <c r="C98" s="56"/>
      <c r="D98" s="57"/>
      <c r="E98" s="57"/>
      <c r="F98" s="58">
        <v>1</v>
      </c>
      <c r="G98" s="98">
        <v>10</v>
      </c>
      <c r="H98" s="98">
        <f>5.5-0.2</f>
        <v>5.3</v>
      </c>
      <c r="I98" s="98"/>
      <c r="J98" s="98"/>
      <c r="K98" s="39">
        <f t="shared" si="0"/>
        <v>53</v>
      </c>
      <c r="L98" s="40">
        <f t="array" ref="L98">IF(C98&lt;&gt;0,ROUND(SUM(K98:INDEX($K98:K$210,MATCH("*",C101:$C$210,0),1)),4),0)</f>
        <v>0</v>
      </c>
      <c r="M98" s="51">
        <f t="shared" si="64"/>
        <v>0</v>
      </c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hidden="1" customHeight="1" outlineLevel="1">
      <c r="A99" s="43"/>
      <c r="B99" s="97" t="s">
        <v>60</v>
      </c>
      <c r="C99" s="56"/>
      <c r="D99" s="57"/>
      <c r="E99" s="57"/>
      <c r="F99" s="58">
        <v>1</v>
      </c>
      <c r="G99" s="98">
        <v>0.95</v>
      </c>
      <c r="H99" s="98">
        <v>1.085</v>
      </c>
      <c r="I99" s="98"/>
      <c r="J99" s="99">
        <v>-1</v>
      </c>
      <c r="K99" s="39">
        <f t="shared" si="0"/>
        <v>-1.0307999999999999</v>
      </c>
      <c r="L99" s="40"/>
      <c r="M99" s="51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hidden="1" customHeight="1" outlineLevel="1">
      <c r="A100" s="43"/>
      <c r="B100" s="97" t="s">
        <v>61</v>
      </c>
      <c r="C100" s="56"/>
      <c r="D100" s="57"/>
      <c r="E100" s="57"/>
      <c r="F100" s="58">
        <v>1</v>
      </c>
      <c r="G100" s="98">
        <v>2.5459999999999998</v>
      </c>
      <c r="H100" s="98">
        <v>1.05</v>
      </c>
      <c r="I100" s="98"/>
      <c r="J100" s="99">
        <v>-1</v>
      </c>
      <c r="K100" s="39">
        <f t="shared" si="0"/>
        <v>-2.6732999999999998</v>
      </c>
      <c r="L100" s="40"/>
      <c r="M100" s="51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hidden="1" customHeight="1" outlineLevel="1">
      <c r="A101" s="43" t="str">
        <f>IF(C101="","",SUBTOTAL(103,$C$97:C101))</f>
        <v/>
      </c>
      <c r="B101" s="97" t="s">
        <v>39</v>
      </c>
      <c r="C101" s="56"/>
      <c r="D101" s="57"/>
      <c r="E101" s="57"/>
      <c r="F101" s="58"/>
      <c r="G101" s="98"/>
      <c r="H101" s="98"/>
      <c r="I101" s="98"/>
      <c r="J101" s="98"/>
      <c r="K101" s="39">
        <f t="shared" si="0"/>
        <v>0</v>
      </c>
      <c r="L101" s="40">
        <f t="array" ref="L101">IF(C101&lt;&gt;0,ROUND(SUM(K101:INDEX(K101:$K$210,MATCH("*",C103:$C$210,0),1)),4),0)</f>
        <v>0</v>
      </c>
      <c r="M101" s="51">
        <f>D101*L101</f>
        <v>0</v>
      </c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hidden="1" customHeight="1" outlineLevel="1">
      <c r="A102" s="43"/>
      <c r="B102" s="97" t="s">
        <v>62</v>
      </c>
      <c r="C102" s="56"/>
      <c r="D102" s="57"/>
      <c r="E102" s="57"/>
      <c r="F102" s="58">
        <v>1</v>
      </c>
      <c r="G102" s="98">
        <v>1.615</v>
      </c>
      <c r="H102" s="98">
        <v>1.1000000000000001</v>
      </c>
      <c r="I102" s="98"/>
      <c r="J102" s="98"/>
      <c r="K102" s="39">
        <f t="shared" si="0"/>
        <v>1.7765</v>
      </c>
      <c r="L102" s="40"/>
      <c r="M102" s="51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collapsed="1">
      <c r="A103" s="43">
        <f t="shared" ref="A103:A109" si="65">IF(C103="","",SUBTOTAL(103,$C$97:C103))</f>
        <v>2</v>
      </c>
      <c r="B103" s="100" t="s">
        <v>63</v>
      </c>
      <c r="C103" s="56" t="s">
        <v>41</v>
      </c>
      <c r="D103" s="57">
        <v>271000</v>
      </c>
      <c r="E103" s="57"/>
      <c r="F103" s="58"/>
      <c r="G103" s="98"/>
      <c r="H103" s="98"/>
      <c r="I103" s="98"/>
      <c r="J103" s="98"/>
      <c r="K103" s="39">
        <f t="shared" si="0"/>
        <v>0</v>
      </c>
      <c r="L103" s="40">
        <f>IF(C103&lt;&gt;0,ROUND(SUM(K103:INDEX($K103:K$210,MATCH("*",$C104:C$210,0),1)),4),0)</f>
        <v>5.8162000000000003</v>
      </c>
      <c r="M103" s="51">
        <f>D103*L103</f>
        <v>1576190.2000000002</v>
      </c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hidden="1" customHeight="1" outlineLevel="1">
      <c r="A104" s="43" t="str">
        <f t="shared" si="65"/>
        <v/>
      </c>
      <c r="B104" s="97" t="s">
        <v>64</v>
      </c>
      <c r="C104" s="56"/>
      <c r="D104" s="57"/>
      <c r="E104" s="57"/>
      <c r="F104" s="58">
        <v>1</v>
      </c>
      <c r="G104" s="98">
        <f>G100-0.1*2</f>
        <v>2.3459999999999996</v>
      </c>
      <c r="H104" s="54">
        <f>H100-0.1</f>
        <v>0.95000000000000007</v>
      </c>
      <c r="I104" s="98"/>
      <c r="J104" s="98"/>
      <c r="K104" s="39">
        <f t="shared" si="0"/>
        <v>2.2286999999999999</v>
      </c>
      <c r="L104" s="40">
        <f>IF(C104&lt;&gt;0,ROUND(SUM(K104:INDEX($K104:K$210,MATCH("*",$C105:C$210,0),1)),4),0)</f>
        <v>0</v>
      </c>
      <c r="M104" s="101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hidden="1" customHeight="1" outlineLevel="1">
      <c r="A105" s="43" t="str">
        <f t="shared" si="65"/>
        <v/>
      </c>
      <c r="B105" s="97" t="s">
        <v>65</v>
      </c>
      <c r="C105" s="56"/>
      <c r="D105" s="57"/>
      <c r="E105" s="57"/>
      <c r="F105" s="58">
        <v>1</v>
      </c>
      <c r="G105" s="98">
        <v>1.75</v>
      </c>
      <c r="H105" s="98">
        <v>2.0499999999999998</v>
      </c>
      <c r="I105" s="98"/>
      <c r="J105" s="98"/>
      <c r="K105" s="39">
        <f t="shared" si="0"/>
        <v>3.5874999999999999</v>
      </c>
      <c r="L105" s="40">
        <f>IF(C105&lt;&gt;0,ROUND(SUM(K105:INDEX($K105:K$210,MATCH("*",$C106:C$210,0),1)),4),0)</f>
        <v>0</v>
      </c>
      <c r="M105" s="101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collapsed="1">
      <c r="A106" s="43">
        <f t="shared" si="65"/>
        <v>3</v>
      </c>
      <c r="B106" s="100" t="s">
        <v>66</v>
      </c>
      <c r="C106" s="56" t="s">
        <v>41</v>
      </c>
      <c r="D106" s="57">
        <v>271000</v>
      </c>
      <c r="E106" s="57"/>
      <c r="F106" s="58"/>
      <c r="G106" s="98"/>
      <c r="H106" s="98"/>
      <c r="I106" s="98"/>
      <c r="J106" s="98"/>
      <c r="K106" s="39">
        <f t="shared" si="0"/>
        <v>0</v>
      </c>
      <c r="L106" s="40">
        <f>IF(C106&lt;&gt;0,ROUND(SUM(K106:INDEX($K106:K$210,MATCH("*",$C107:C$210,0),1)),4),0)</f>
        <v>49.037599999999998</v>
      </c>
      <c r="M106" s="101">
        <f>D106*L106</f>
        <v>13289189.6</v>
      </c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hidden="1" customHeight="1" outlineLevel="1">
      <c r="A107" s="102" t="str">
        <f t="shared" si="65"/>
        <v/>
      </c>
      <c r="B107" s="97" t="str">
        <f t="shared" ref="B107:B108" si="66">B104</f>
        <v>Vệ sinh chung trệt</v>
      </c>
      <c r="C107" s="103"/>
      <c r="D107" s="104"/>
      <c r="E107" s="104"/>
      <c r="F107" s="58">
        <f t="shared" ref="F107:F108" si="67">F104</f>
        <v>1</v>
      </c>
      <c r="G107" s="105">
        <f t="shared" ref="G107:G108" si="68">G104*2+H104*2</f>
        <v>6.5919999999999996</v>
      </c>
      <c r="H107" s="105"/>
      <c r="I107" s="105">
        <v>2.4</v>
      </c>
      <c r="J107" s="105"/>
      <c r="K107" s="39">
        <f t="shared" si="0"/>
        <v>15.8208</v>
      </c>
      <c r="L107" s="40">
        <f>IF(C107&lt;&gt;0,ROUND(SUM(K107:INDEX($K107:K$210,MATCH("*",$C108:C$210,0),1)),4),0)</f>
        <v>0</v>
      </c>
      <c r="M107" s="106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</row>
    <row r="108" spans="1:26" ht="15.75" hidden="1" customHeight="1" outlineLevel="1">
      <c r="A108" s="102" t="str">
        <f t="shared" si="65"/>
        <v/>
      </c>
      <c r="B108" s="97" t="str">
        <f t="shared" si="66"/>
        <v>Vệ sinh phòng ngủ lầu</v>
      </c>
      <c r="C108" s="103"/>
      <c r="D108" s="104"/>
      <c r="E108" s="104"/>
      <c r="F108" s="58">
        <f t="shared" si="67"/>
        <v>1</v>
      </c>
      <c r="G108" s="105">
        <f t="shared" si="68"/>
        <v>7.6</v>
      </c>
      <c r="H108" s="105"/>
      <c r="I108" s="105">
        <v>2.4</v>
      </c>
      <c r="J108" s="105"/>
      <c r="K108" s="39">
        <f t="shared" si="0"/>
        <v>18.239999999999998</v>
      </c>
      <c r="L108" s="40">
        <f>IF(C108&lt;&gt;0,ROUND(SUM(K108:INDEX($K108:K$210,MATCH("*",$C109:C$210,0),1)),4),0)</f>
        <v>0</v>
      </c>
      <c r="M108" s="106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</row>
    <row r="109" spans="1:26" ht="15.75" hidden="1" customHeight="1" outlineLevel="1">
      <c r="A109" s="43" t="str">
        <f t="shared" si="65"/>
        <v/>
      </c>
      <c r="B109" s="97" t="s">
        <v>67</v>
      </c>
      <c r="C109" s="56"/>
      <c r="D109" s="57"/>
      <c r="E109" s="57"/>
      <c r="F109" s="58">
        <v>-2</v>
      </c>
      <c r="G109" s="98">
        <v>0.8</v>
      </c>
      <c r="H109" s="98"/>
      <c r="I109" s="98">
        <v>2.2000000000000002</v>
      </c>
      <c r="J109" s="98"/>
      <c r="K109" s="39">
        <f t="shared" si="0"/>
        <v>-3.52</v>
      </c>
      <c r="L109" s="40">
        <f>IF(C109&lt;&gt;0,ROUND(SUM(K109:INDEX($K109:K$210,MATCH("*",$C110:C$210,0),1)),4),0)</f>
        <v>0</v>
      </c>
      <c r="M109" s="101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hidden="1" customHeight="1" outlineLevel="1">
      <c r="A110" s="43"/>
      <c r="B110" s="97" t="s">
        <v>68</v>
      </c>
      <c r="C110" s="56"/>
      <c r="D110" s="57"/>
      <c r="E110" s="57"/>
      <c r="F110" s="58">
        <v>1</v>
      </c>
      <c r="G110" s="98">
        <f>5.685+1.495+0.1*3+1.05+2.546-0.8</f>
        <v>10.275999999999998</v>
      </c>
      <c r="H110" s="98"/>
      <c r="I110" s="98">
        <v>1.8</v>
      </c>
      <c r="J110" s="98"/>
      <c r="K110" s="39">
        <f t="shared" si="0"/>
        <v>18.4968</v>
      </c>
      <c r="L110" s="40">
        <f>IF(C110&lt;&gt;0,ROUND(SUM(K110:INDEX($K110:K$210,MATCH("*",$C111:C$210,0),1)),4),0)</f>
        <v>0</v>
      </c>
      <c r="M110" s="101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collapsed="1">
      <c r="A111" s="43">
        <f t="shared" ref="A111:A112" si="69">IF(C111="","",SUBTOTAL(103,$C$97:C111))</f>
        <v>4</v>
      </c>
      <c r="B111" s="100" t="s">
        <v>69</v>
      </c>
      <c r="C111" s="56" t="s">
        <v>41</v>
      </c>
      <c r="D111" s="57">
        <v>115000</v>
      </c>
      <c r="E111" s="57"/>
      <c r="F111" s="58"/>
      <c r="G111" s="98"/>
      <c r="H111" s="98"/>
      <c r="I111" s="98"/>
      <c r="J111" s="98"/>
      <c r="K111" s="39">
        <f t="shared" si="0"/>
        <v>0</v>
      </c>
      <c r="L111" s="40">
        <f>IF(C111&lt;&gt;0,ROUND(SUM(K111:INDEX($K111:K$210,MATCH("*",$C112:C$210,0),1)),4),0)</f>
        <v>27.580500000000001</v>
      </c>
      <c r="M111" s="101">
        <f>D111*L111</f>
        <v>3171757.5</v>
      </c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hidden="1" customHeight="1" outlineLevel="1">
      <c r="A112" s="43" t="str">
        <f t="shared" si="69"/>
        <v/>
      </c>
      <c r="B112" s="108" t="s">
        <v>70</v>
      </c>
      <c r="C112" s="56"/>
      <c r="D112" s="57"/>
      <c r="E112" s="57"/>
      <c r="F112" s="58">
        <v>1</v>
      </c>
      <c r="G112" s="98">
        <v>4.3</v>
      </c>
      <c r="H112" s="98">
        <f>5.5-0.2</f>
        <v>5.3</v>
      </c>
      <c r="I112" s="98"/>
      <c r="J112" s="98"/>
      <c r="K112" s="39">
        <f t="shared" si="0"/>
        <v>22.79</v>
      </c>
      <c r="L112" s="40">
        <f t="array" ref="L112">IF(C112&lt;&gt;0,ROUND(SUM(K112:INDEX($K112:K$210,MATCH("*",C114:$C$210,0),1)),4),0)</f>
        <v>0</v>
      </c>
      <c r="M112" s="101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hidden="1" customHeight="1" outlineLevel="1">
      <c r="A113" s="43"/>
      <c r="B113" s="97"/>
      <c r="C113" s="56"/>
      <c r="D113" s="57"/>
      <c r="E113" s="57"/>
      <c r="F113" s="58">
        <v>-1</v>
      </c>
      <c r="G113" s="98">
        <v>1.5</v>
      </c>
      <c r="H113" s="98">
        <v>1.7</v>
      </c>
      <c r="I113" s="98"/>
      <c r="J113" s="98"/>
      <c r="K113" s="39">
        <f t="shared" si="0"/>
        <v>-2.5499999999999998</v>
      </c>
      <c r="L113" s="40"/>
      <c r="M113" s="101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hidden="1" customHeight="1" outlineLevel="1">
      <c r="A114" s="43" t="str">
        <f t="shared" ref="A114:A116" si="70">IF(C114="","",SUBTOTAL(103,$C$97:C114))</f>
        <v/>
      </c>
      <c r="B114" s="97" t="s">
        <v>71</v>
      </c>
      <c r="C114" s="56"/>
      <c r="D114" s="57"/>
      <c r="E114" s="57"/>
      <c r="F114" s="58">
        <v>1</v>
      </c>
      <c r="G114" s="98">
        <v>1.385</v>
      </c>
      <c r="H114" s="98">
        <f>5.5-0.2</f>
        <v>5.3</v>
      </c>
      <c r="I114" s="98"/>
      <c r="J114" s="98"/>
      <c r="K114" s="39">
        <f t="shared" si="0"/>
        <v>7.3404999999999996</v>
      </c>
      <c r="L114" s="40">
        <f>IF(C114&lt;&gt;0,ROUND(SUM(K114:INDEX($K114:K$210,MATCH("*",$C115:C$210,0),1)),4),0)</f>
        <v>0</v>
      </c>
      <c r="M114" s="101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collapsed="1">
      <c r="A115" s="43">
        <f t="shared" si="70"/>
        <v>5</v>
      </c>
      <c r="B115" s="100" t="s">
        <v>72</v>
      </c>
      <c r="C115" s="56" t="s">
        <v>41</v>
      </c>
      <c r="D115" s="57">
        <v>674000</v>
      </c>
      <c r="E115" s="57"/>
      <c r="F115" s="58"/>
      <c r="G115" s="98"/>
      <c r="H115" s="98"/>
      <c r="I115" s="98"/>
      <c r="J115" s="98"/>
      <c r="K115" s="39">
        <f t="shared" si="0"/>
        <v>0</v>
      </c>
      <c r="L115" s="40">
        <f>IF(C115&lt;&gt;0,ROUND(SUM(K115:INDEX($K115:K$210,MATCH("*",$C116:C$210,0),1)),4),0)</f>
        <v>20.167999999999999</v>
      </c>
      <c r="M115" s="101">
        <f t="shared" ref="M115:M116" si="71">D115*L115</f>
        <v>13593232</v>
      </c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hidden="1" customHeight="1" outlineLevel="1">
      <c r="A116" s="43" t="str">
        <f t="shared" si="70"/>
        <v/>
      </c>
      <c r="B116" s="97" t="s">
        <v>59</v>
      </c>
      <c r="C116" s="56"/>
      <c r="D116" s="57"/>
      <c r="E116" s="57"/>
      <c r="F116" s="58"/>
      <c r="G116" s="98"/>
      <c r="H116" s="98"/>
      <c r="I116" s="98"/>
      <c r="J116" s="98"/>
      <c r="K116" s="39">
        <f t="shared" si="0"/>
        <v>0</v>
      </c>
      <c r="L116" s="40">
        <f t="array" ref="L116">IF(C116&lt;&gt;0,ROUND(SUM(K116:INDEX($K116:K$210,MATCH("*",C126:$C$210,0),1)),4),0)</f>
        <v>0</v>
      </c>
      <c r="M116" s="51">
        <f t="shared" si="71"/>
        <v>0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hidden="1" customHeight="1" outlineLevel="1">
      <c r="A117" s="43"/>
      <c r="B117" s="97" t="s">
        <v>39</v>
      </c>
      <c r="C117" s="56"/>
      <c r="D117" s="57"/>
      <c r="E117" s="57"/>
      <c r="F117" s="58"/>
      <c r="G117" s="98"/>
      <c r="H117" s="98"/>
      <c r="I117" s="98"/>
      <c r="J117" s="98"/>
      <c r="K117" s="39">
        <f t="shared" si="0"/>
        <v>0</v>
      </c>
      <c r="L117" s="40"/>
      <c r="M117" s="51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hidden="1" customHeight="1" outlineLevel="1">
      <c r="A118" s="43"/>
      <c r="B118" s="97" t="s">
        <v>73</v>
      </c>
      <c r="C118" s="56"/>
      <c r="D118" s="57"/>
      <c r="E118" s="57"/>
      <c r="F118" s="58">
        <v>1</v>
      </c>
      <c r="G118" s="98">
        <v>3.9649999999999999</v>
      </c>
      <c r="H118" s="98">
        <v>4.2</v>
      </c>
      <c r="I118" s="98"/>
      <c r="J118" s="98"/>
      <c r="K118" s="39">
        <f t="shared" si="0"/>
        <v>16.652999999999999</v>
      </c>
      <c r="L118" s="40"/>
      <c r="M118" s="51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hidden="1" customHeight="1" outlineLevel="1">
      <c r="A119" s="43"/>
      <c r="B119" s="97"/>
      <c r="C119" s="56"/>
      <c r="D119" s="57"/>
      <c r="E119" s="57"/>
      <c r="F119" s="58">
        <v>1</v>
      </c>
      <c r="G119" s="98">
        <v>1.85</v>
      </c>
      <c r="H119" s="98">
        <v>1.9</v>
      </c>
      <c r="I119" s="98"/>
      <c r="J119" s="98"/>
      <c r="K119" s="39">
        <f t="shared" si="0"/>
        <v>3.5150000000000001</v>
      </c>
      <c r="L119" s="40"/>
      <c r="M119" s="51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collapsed="1">
      <c r="A120" s="43">
        <f t="shared" ref="A120:A122" si="72">IF(C120="","",SUBTOTAL(103,$C$97:C120))</f>
        <v>6</v>
      </c>
      <c r="B120" s="100" t="s">
        <v>74</v>
      </c>
      <c r="C120" s="56" t="s">
        <v>41</v>
      </c>
      <c r="D120" s="57">
        <v>1600000</v>
      </c>
      <c r="E120" s="57"/>
      <c r="F120" s="58"/>
      <c r="G120" s="98"/>
      <c r="H120" s="98"/>
      <c r="I120" s="98"/>
      <c r="J120" s="98"/>
      <c r="K120" s="39">
        <f t="shared" si="0"/>
        <v>0</v>
      </c>
      <c r="L120" s="40">
        <f>IF(C120&lt;&gt;0,ROUND(SUM(K120:INDEX($K120:K$210,MATCH("*",$C121:C$210,0),1)),4),0)</f>
        <v>17.529699999999998</v>
      </c>
      <c r="M120" s="101">
        <f>D120*L120</f>
        <v>28047519.999999996</v>
      </c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hidden="1" customHeight="1" outlineLevel="1">
      <c r="A121" s="43" t="str">
        <f t="shared" si="72"/>
        <v/>
      </c>
      <c r="B121" s="97" t="s">
        <v>75</v>
      </c>
      <c r="C121" s="76"/>
      <c r="D121" s="109"/>
      <c r="E121" s="109"/>
      <c r="F121" s="58">
        <v>1</v>
      </c>
      <c r="G121" s="98">
        <v>1.38</v>
      </c>
      <c r="H121" s="98">
        <v>0.12</v>
      </c>
      <c r="I121" s="98"/>
      <c r="J121" s="98"/>
      <c r="K121" s="39">
        <f t="shared" si="0"/>
        <v>0.1656</v>
      </c>
      <c r="L121" s="40">
        <f>IF(C121&lt;&gt;0,ROUND(SUM(K121:INDEX($K121:K$210,MATCH("*",$C122:C$210,0),1)),4),0)</f>
        <v>0</v>
      </c>
      <c r="M121" s="101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hidden="1" customHeight="1" outlineLevel="1">
      <c r="A122" s="43" t="str">
        <f t="shared" si="72"/>
        <v/>
      </c>
      <c r="B122" s="110"/>
      <c r="C122" s="76"/>
      <c r="D122" s="109"/>
      <c r="E122" s="109"/>
      <c r="F122" s="58">
        <v>1</v>
      </c>
      <c r="G122" s="98">
        <v>0.9</v>
      </c>
      <c r="H122" s="98">
        <v>0.12</v>
      </c>
      <c r="I122" s="98"/>
      <c r="J122" s="98"/>
      <c r="K122" s="39">
        <f t="shared" si="0"/>
        <v>0.108</v>
      </c>
      <c r="L122" s="40">
        <f t="array" ref="L122">IF(C122&lt;&gt;0,ROUND(SUM(K122:INDEX($K122:K$210,MATCH("*",C126:$C$210,0),1)),4),0)</f>
        <v>0</v>
      </c>
      <c r="M122" s="101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hidden="1" customHeight="1" outlineLevel="1">
      <c r="A123" s="43"/>
      <c r="B123" s="110"/>
      <c r="C123" s="76"/>
      <c r="D123" s="109"/>
      <c r="E123" s="109"/>
      <c r="F123" s="58">
        <v>2</v>
      </c>
      <c r="G123" s="98">
        <v>0.8</v>
      </c>
      <c r="H123" s="98">
        <v>0.1</v>
      </c>
      <c r="I123" s="98"/>
      <c r="J123" s="98"/>
      <c r="K123" s="39">
        <f t="shared" si="0"/>
        <v>0.16</v>
      </c>
      <c r="L123" s="40"/>
      <c r="M123" s="101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hidden="1" customHeight="1" outlineLevel="1">
      <c r="A124" s="43"/>
      <c r="B124" s="110"/>
      <c r="C124" s="76"/>
      <c r="D124" s="109"/>
      <c r="E124" s="109"/>
      <c r="F124" s="58">
        <v>1</v>
      </c>
      <c r="G124" s="98">
        <v>0.9</v>
      </c>
      <c r="H124" s="98">
        <v>0.1</v>
      </c>
      <c r="I124" s="98"/>
      <c r="J124" s="98"/>
      <c r="K124" s="39">
        <f t="shared" si="0"/>
        <v>0.09</v>
      </c>
      <c r="L124" s="40"/>
      <c r="M124" s="101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hidden="1" customHeight="1" outlineLevel="1">
      <c r="A125" s="43"/>
      <c r="B125" s="97" t="s">
        <v>76</v>
      </c>
      <c r="C125" s="76"/>
      <c r="D125" s="109"/>
      <c r="E125" s="109"/>
      <c r="F125" s="58">
        <v>1</v>
      </c>
      <c r="G125" s="98">
        <v>1.5</v>
      </c>
      <c r="H125" s="98">
        <v>1.7</v>
      </c>
      <c r="I125" s="98"/>
      <c r="J125" s="98"/>
      <c r="K125" s="39">
        <f t="shared" si="0"/>
        <v>2.5499999999999998</v>
      </c>
      <c r="L125" s="40"/>
      <c r="M125" s="101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hidden="1" customHeight="1" outlineLevel="1">
      <c r="A126" s="43" t="str">
        <f>IF(C126="","",SUBTOTAL(103,$C$97:C126))</f>
        <v/>
      </c>
      <c r="B126" s="97"/>
      <c r="C126" s="76"/>
      <c r="D126" s="109"/>
      <c r="E126" s="109"/>
      <c r="F126" s="58">
        <v>1</v>
      </c>
      <c r="G126" s="98">
        <f>G125+H125</f>
        <v>3.2</v>
      </c>
      <c r="H126" s="98"/>
      <c r="I126" s="98">
        <v>0.15</v>
      </c>
      <c r="J126" s="98"/>
      <c r="K126" s="39">
        <f t="shared" si="0"/>
        <v>0.48</v>
      </c>
      <c r="L126" s="40">
        <f>IF(C126&lt;&gt;0,ROUND(SUM(K126:INDEX($K126:K$210,MATCH("*",$C127:C$210,0),1)),4),0)</f>
        <v>0</v>
      </c>
      <c r="M126" s="101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hidden="1" customHeight="1" outlineLevel="1">
      <c r="A127" s="43"/>
      <c r="B127" s="97" t="s">
        <v>77</v>
      </c>
      <c r="C127" s="76"/>
      <c r="D127" s="109"/>
      <c r="E127" s="109"/>
      <c r="F127" s="58">
        <v>1</v>
      </c>
      <c r="G127" s="98">
        <v>0.9</v>
      </c>
      <c r="H127" s="98">
        <v>0.62</v>
      </c>
      <c r="I127" s="98"/>
      <c r="J127" s="98"/>
      <c r="K127" s="39">
        <f t="shared" si="0"/>
        <v>0.55800000000000005</v>
      </c>
      <c r="L127" s="40">
        <f>IF(C127&lt;&gt;0,ROUND(SUM(K127:INDEX($K127:K$210,MATCH("*",$C128:C$210,0),1)),4),0)</f>
        <v>0</v>
      </c>
      <c r="M127" s="101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hidden="1" customHeight="1" outlineLevel="1">
      <c r="A128" s="43"/>
      <c r="B128" s="97"/>
      <c r="C128" s="76"/>
      <c r="D128" s="109"/>
      <c r="E128" s="109"/>
      <c r="F128" s="58">
        <f>F127</f>
        <v>1</v>
      </c>
      <c r="G128" s="98">
        <f>G127+H127-0.02</f>
        <v>1.5</v>
      </c>
      <c r="H128" s="98"/>
      <c r="I128" s="98">
        <f>0.1+0.15</f>
        <v>0.25</v>
      </c>
      <c r="J128" s="98"/>
      <c r="K128" s="39">
        <f t="shared" si="0"/>
        <v>0.375</v>
      </c>
      <c r="L128" s="40">
        <f>IF(C128&lt;&gt;0,ROUND(SUM(K128:INDEX($K128:K$210,MATCH("*",$C129:C$210,0),1)),4),0)</f>
        <v>0</v>
      </c>
      <c r="M128" s="101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hidden="1" customHeight="1" outlineLevel="1">
      <c r="A129" s="43"/>
      <c r="B129" s="97" t="s">
        <v>78</v>
      </c>
      <c r="C129" s="56"/>
      <c r="D129" s="57"/>
      <c r="E129" s="57"/>
      <c r="F129" s="58">
        <v>1</v>
      </c>
      <c r="G129" s="98">
        <f>2+1.9+2.46</f>
        <v>6.3599999999999994</v>
      </c>
      <c r="H129" s="98">
        <v>0.62</v>
      </c>
      <c r="I129" s="98"/>
      <c r="J129" s="98"/>
      <c r="K129" s="39">
        <f t="shared" si="0"/>
        <v>3.9432</v>
      </c>
      <c r="L129" s="40">
        <f t="array" ref="L129">IF(C129&lt;&gt;0,ROUND(SUM(K129:INDEX($K129:K$210,MATCH("*",C135:$C$210,0),1)),4),0)</f>
        <v>0</v>
      </c>
      <c r="M129" s="101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hidden="1" customHeight="1" outlineLevel="1">
      <c r="A130" s="43"/>
      <c r="B130" s="97" t="s">
        <v>50</v>
      </c>
      <c r="C130" s="56"/>
      <c r="D130" s="57"/>
      <c r="E130" s="57"/>
      <c r="F130" s="58"/>
      <c r="G130" s="98"/>
      <c r="H130" s="98"/>
      <c r="I130" s="98"/>
      <c r="J130" s="98"/>
      <c r="K130" s="39">
        <f t="shared" si="0"/>
        <v>0</v>
      </c>
      <c r="L130" s="40"/>
      <c r="M130" s="101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hidden="1" customHeight="1" outlineLevel="1">
      <c r="A131" s="43"/>
      <c r="B131" s="97" t="s">
        <v>79</v>
      </c>
      <c r="C131" s="56"/>
      <c r="D131" s="57"/>
      <c r="E131" s="57"/>
      <c r="F131" s="58">
        <v>19</v>
      </c>
      <c r="G131" s="98">
        <v>0.9</v>
      </c>
      <c r="H131" s="98">
        <v>0.27</v>
      </c>
      <c r="I131" s="98"/>
      <c r="J131" s="98"/>
      <c r="K131" s="39">
        <f t="shared" si="0"/>
        <v>4.617</v>
      </c>
      <c r="L131" s="40"/>
      <c r="M131" s="101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hidden="1" customHeight="1" outlineLevel="1">
      <c r="A132" s="43"/>
      <c r="B132" s="97"/>
      <c r="C132" s="56"/>
      <c r="D132" s="57"/>
      <c r="E132" s="57"/>
      <c r="F132" s="58">
        <v>1</v>
      </c>
      <c r="G132" s="98">
        <v>0.9</v>
      </c>
      <c r="H132" s="98">
        <v>1</v>
      </c>
      <c r="I132" s="98"/>
      <c r="J132" s="98"/>
      <c r="K132" s="39">
        <f t="shared" si="0"/>
        <v>0.9</v>
      </c>
      <c r="L132" s="40"/>
      <c r="M132" s="101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hidden="1" customHeight="1" outlineLevel="1">
      <c r="A133" s="43"/>
      <c r="B133" s="97"/>
      <c r="C133" s="56"/>
      <c r="D133" s="57"/>
      <c r="E133" s="57"/>
      <c r="F133" s="58">
        <v>1</v>
      </c>
      <c r="G133" s="98">
        <f>0.9</f>
        <v>0.9</v>
      </c>
      <c r="H133" s="98"/>
      <c r="I133" s="98">
        <f>3.6/21</f>
        <v>0.17142857142857143</v>
      </c>
      <c r="J133" s="98"/>
      <c r="K133" s="39">
        <f t="shared" si="0"/>
        <v>0.15429999999999999</v>
      </c>
      <c r="L133" s="40"/>
      <c r="M133" s="101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hidden="1" customHeight="1" outlineLevel="1">
      <c r="A134" s="43"/>
      <c r="B134" s="97"/>
      <c r="C134" s="56"/>
      <c r="D134" s="57"/>
      <c r="E134" s="57"/>
      <c r="F134" s="58">
        <v>1</v>
      </c>
      <c r="G134" s="98">
        <v>1</v>
      </c>
      <c r="H134" s="98"/>
      <c r="I134" s="98">
        <f>3.6-I133</f>
        <v>3.4285714285714288</v>
      </c>
      <c r="J134" s="98"/>
      <c r="K134" s="39">
        <f t="shared" si="0"/>
        <v>3.4285999999999999</v>
      </c>
      <c r="L134" s="40"/>
      <c r="M134" s="101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collapsed="1">
      <c r="A135" s="43">
        <f t="shared" ref="A135:A149" si="73">IF(C135="","",SUBTOTAL(103,$C$97:C135))</f>
        <v>7</v>
      </c>
      <c r="B135" s="100" t="s">
        <v>80</v>
      </c>
      <c r="C135" s="56" t="s">
        <v>81</v>
      </c>
      <c r="D135" s="57">
        <v>3150000</v>
      </c>
      <c r="E135" s="57"/>
      <c r="F135" s="58"/>
      <c r="G135" s="98"/>
      <c r="H135" s="98"/>
      <c r="I135" s="98"/>
      <c r="J135" s="98"/>
      <c r="K135" s="39">
        <f t="shared" si="0"/>
        <v>0</v>
      </c>
      <c r="L135" s="40">
        <f>IF(C135&lt;&gt;0,ROUND(SUM(K135:INDEX($K135:K$210,MATCH("*",$C136:C$210,0),1)),4),0)</f>
        <v>2</v>
      </c>
      <c r="M135" s="101">
        <f>D135*L135</f>
        <v>6300000</v>
      </c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hidden="1" customHeight="1" outlineLevel="1">
      <c r="A136" s="43" t="str">
        <f t="shared" si="73"/>
        <v/>
      </c>
      <c r="B136" s="100"/>
      <c r="C136" s="56"/>
      <c r="D136" s="57"/>
      <c r="E136" s="57"/>
      <c r="F136" s="58">
        <v>2</v>
      </c>
      <c r="G136" s="98"/>
      <c r="H136" s="98"/>
      <c r="I136" s="98"/>
      <c r="J136" s="98"/>
      <c r="K136" s="39">
        <f t="shared" si="0"/>
        <v>2</v>
      </c>
      <c r="L136" s="40">
        <f>IF(C136&lt;&gt;0,ROUND(SUM(K136:INDEX($K136:K$210,MATCH("*",$C137:C$210,0),1)),4),0)</f>
        <v>0</v>
      </c>
      <c r="M136" s="101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collapsed="1">
      <c r="A137" s="43">
        <f t="shared" si="73"/>
        <v>8</v>
      </c>
      <c r="B137" s="100" t="s">
        <v>82</v>
      </c>
      <c r="C137" s="56" t="s">
        <v>81</v>
      </c>
      <c r="D137" s="57">
        <v>2650000</v>
      </c>
      <c r="E137" s="57"/>
      <c r="F137" s="58"/>
      <c r="G137" s="98"/>
      <c r="H137" s="98"/>
      <c r="I137" s="98"/>
      <c r="J137" s="98"/>
      <c r="K137" s="39">
        <f t="shared" si="0"/>
        <v>0</v>
      </c>
      <c r="L137" s="40">
        <f>IF(C137&lt;&gt;0,ROUND(SUM(K137:INDEX($K137:K$210,MATCH("*",$C138:C$210,0),1)),4),0)</f>
        <v>2</v>
      </c>
      <c r="M137" s="101">
        <f>D137*L137</f>
        <v>5300000</v>
      </c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hidden="1" customHeight="1" outlineLevel="1">
      <c r="A138" s="43" t="str">
        <f t="shared" si="73"/>
        <v/>
      </c>
      <c r="B138" s="100"/>
      <c r="C138" s="56"/>
      <c r="D138" s="57"/>
      <c r="E138" s="57"/>
      <c r="F138" s="58">
        <v>2</v>
      </c>
      <c r="G138" s="98"/>
      <c r="H138" s="98"/>
      <c r="I138" s="98"/>
      <c r="J138" s="98"/>
      <c r="K138" s="39">
        <f t="shared" si="0"/>
        <v>2</v>
      </c>
      <c r="L138" s="40">
        <f>IF(C138&lt;&gt;0,ROUND(SUM(K138:INDEX($K138:K$210,MATCH("*",$C139:C$210,0),1)),4),0)</f>
        <v>0</v>
      </c>
      <c r="M138" s="101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collapsed="1">
      <c r="A139" s="43">
        <f t="shared" si="73"/>
        <v>9</v>
      </c>
      <c r="B139" s="145" t="s">
        <v>139</v>
      </c>
      <c r="C139" s="56" t="s">
        <v>81</v>
      </c>
      <c r="D139" s="57">
        <v>460000</v>
      </c>
      <c r="E139" s="57"/>
      <c r="F139" s="58"/>
      <c r="G139" s="98"/>
      <c r="H139" s="98"/>
      <c r="I139" s="98"/>
      <c r="J139" s="98"/>
      <c r="K139" s="39">
        <f t="shared" si="0"/>
        <v>0</v>
      </c>
      <c r="L139" s="40">
        <f>IF(C139&lt;&gt;0,ROUND(SUM(K139:INDEX($K139:K$210,MATCH("*",$C140:C$210,0),1)),4),0)</f>
        <v>2</v>
      </c>
      <c r="M139" s="101">
        <f>D139*L139</f>
        <v>920000</v>
      </c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hidden="1" customHeight="1" outlineLevel="1">
      <c r="A140" s="43" t="str">
        <f t="shared" si="73"/>
        <v/>
      </c>
      <c r="B140" s="100"/>
      <c r="C140" s="56"/>
      <c r="D140" s="57"/>
      <c r="E140" s="57"/>
      <c r="F140" s="58">
        <v>2</v>
      </c>
      <c r="G140" s="98"/>
      <c r="H140" s="98"/>
      <c r="I140" s="98"/>
      <c r="J140" s="98"/>
      <c r="K140" s="39">
        <f t="shared" si="0"/>
        <v>2</v>
      </c>
      <c r="L140" s="40">
        <f>IF(C140&lt;&gt;0,ROUND(SUM(K140:INDEX($K140:K$210,MATCH("*",$C141:C$210,0),1)),4),0)</f>
        <v>0</v>
      </c>
      <c r="M140" s="101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collapsed="1">
      <c r="A141" s="43">
        <f t="shared" si="73"/>
        <v>10</v>
      </c>
      <c r="B141" s="100" t="s">
        <v>83</v>
      </c>
      <c r="C141" s="56" t="s">
        <v>81</v>
      </c>
      <c r="D141" s="57">
        <v>4300000</v>
      </c>
      <c r="E141" s="57"/>
      <c r="F141" s="58"/>
      <c r="G141" s="98"/>
      <c r="H141" s="98"/>
      <c r="I141" s="98"/>
      <c r="J141" s="98"/>
      <c r="K141" s="39">
        <f t="shared" si="0"/>
        <v>0</v>
      </c>
      <c r="L141" s="40">
        <f>IF(C141&lt;&gt;0,ROUND(SUM(K141:INDEX($K141:K$210,MATCH("*",$C142:C$210,0),1)),4),0)</f>
        <v>2</v>
      </c>
      <c r="M141" s="101">
        <f>D141*L141</f>
        <v>8600000</v>
      </c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hidden="1" customHeight="1" outlineLevel="1">
      <c r="A142" s="43" t="str">
        <f t="shared" si="73"/>
        <v/>
      </c>
      <c r="B142" s="100"/>
      <c r="C142" s="56"/>
      <c r="D142" s="57"/>
      <c r="E142" s="57"/>
      <c r="F142" s="58">
        <v>2</v>
      </c>
      <c r="G142" s="98"/>
      <c r="H142" s="98"/>
      <c r="I142" s="98"/>
      <c r="J142" s="98"/>
      <c r="K142" s="39">
        <f t="shared" si="0"/>
        <v>2</v>
      </c>
      <c r="L142" s="40">
        <f>IF(C142&lt;&gt;0,ROUND(SUM(K142:INDEX($K142:K$210,MATCH("*",$C143:C$210,0),1)),4),0)</f>
        <v>0</v>
      </c>
      <c r="M142" s="101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collapsed="1">
      <c r="A143" s="43">
        <f t="shared" si="73"/>
        <v>11</v>
      </c>
      <c r="B143" s="100" t="s">
        <v>84</v>
      </c>
      <c r="C143" s="56" t="s">
        <v>41</v>
      </c>
      <c r="D143" s="57">
        <v>1250000</v>
      </c>
      <c r="E143" s="57"/>
      <c r="F143" s="58"/>
      <c r="G143" s="98"/>
      <c r="H143" s="98"/>
      <c r="I143" s="98"/>
      <c r="J143" s="98"/>
      <c r="K143" s="39">
        <f t="shared" si="0"/>
        <v>0</v>
      </c>
      <c r="L143" s="40">
        <f>IF(C143&lt;&gt;0,ROUND(SUM(K143:INDEX($K143:K$210,MATCH("*",$C144:C$210,0),1)),4),0)</f>
        <v>3.7</v>
      </c>
      <c r="M143" s="101">
        <f>D143*L143</f>
        <v>4625000</v>
      </c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hidden="1" customHeight="1" outlineLevel="1">
      <c r="A144" s="43" t="str">
        <f t="shared" si="73"/>
        <v/>
      </c>
      <c r="B144" s="97" t="s">
        <v>85</v>
      </c>
      <c r="C144" s="56"/>
      <c r="D144" s="57"/>
      <c r="E144" s="57"/>
      <c r="F144" s="58">
        <v>1</v>
      </c>
      <c r="G144" s="98">
        <f>0.62+0.51+0.72</f>
        <v>1.8499999999999999</v>
      </c>
      <c r="H144" s="98"/>
      <c r="I144" s="98">
        <v>2</v>
      </c>
      <c r="J144" s="98"/>
      <c r="K144" s="39">
        <f t="shared" si="0"/>
        <v>3.7</v>
      </c>
      <c r="L144" s="40">
        <f>IF(C144&lt;&gt;0,ROUND(SUM(K144:INDEX($K144:K$210,MATCH("*",$C145:C$210,0),1)),4),0)</f>
        <v>0</v>
      </c>
      <c r="M144" s="101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collapsed="1">
      <c r="A145" s="43">
        <f t="shared" si="73"/>
        <v>12</v>
      </c>
      <c r="B145" s="100" t="s">
        <v>86</v>
      </c>
      <c r="C145" s="56" t="s">
        <v>81</v>
      </c>
      <c r="D145" s="57">
        <v>4312000</v>
      </c>
      <c r="E145" s="57"/>
      <c r="F145" s="58"/>
      <c r="G145" s="98"/>
      <c r="H145" s="98"/>
      <c r="I145" s="98"/>
      <c r="J145" s="98"/>
      <c r="K145" s="39">
        <f t="shared" si="0"/>
        <v>0</v>
      </c>
      <c r="L145" s="40">
        <f>IF(C145&lt;&gt;0,ROUND(SUM(K145:INDEX($K145:K$210,MATCH("*",$C146:C$210,0),1)),4),0)</f>
        <v>1</v>
      </c>
      <c r="M145" s="101">
        <f>D145*L145</f>
        <v>4312000</v>
      </c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hidden="1" customHeight="1" outlineLevel="1">
      <c r="A146" s="43" t="str">
        <f t="shared" si="73"/>
        <v/>
      </c>
      <c r="B146" s="100"/>
      <c r="C146" s="56"/>
      <c r="D146" s="57"/>
      <c r="E146" s="57"/>
      <c r="F146" s="58">
        <v>1</v>
      </c>
      <c r="G146" s="98"/>
      <c r="H146" s="98"/>
      <c r="I146" s="98"/>
      <c r="J146" s="98"/>
      <c r="K146" s="39">
        <f t="shared" si="0"/>
        <v>1</v>
      </c>
      <c r="L146" s="40">
        <f>IF(C146&lt;&gt;0,ROUND(SUM(K146:INDEX($K146:K$210,MATCH("*",$C147:C$210,0),1)),4),0)</f>
        <v>0</v>
      </c>
      <c r="M146" s="101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collapsed="1">
      <c r="A147" s="43">
        <f t="shared" si="73"/>
        <v>13</v>
      </c>
      <c r="B147" s="100" t="s">
        <v>87</v>
      </c>
      <c r="C147" s="56" t="s">
        <v>16</v>
      </c>
      <c r="D147" s="57">
        <v>9500</v>
      </c>
      <c r="E147" s="57"/>
      <c r="F147" s="58"/>
      <c r="G147" s="98"/>
      <c r="H147" s="98"/>
      <c r="I147" s="98"/>
      <c r="J147" s="98"/>
      <c r="K147" s="39">
        <f t="shared" si="0"/>
        <v>0</v>
      </c>
      <c r="L147" s="40">
        <f>IF(C147&lt;&gt;0,ROUND(SUM(K147:INDEX($K147:K$210,MATCH("*",$C148:C$210,0),1)),4),0)</f>
        <v>401.15879999999999</v>
      </c>
      <c r="M147" s="101">
        <f>D147*L147</f>
        <v>3811008.5999999996</v>
      </c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hidden="1" customHeight="1" outlineLevel="1">
      <c r="A148" s="43" t="str">
        <f t="shared" si="73"/>
        <v/>
      </c>
      <c r="B148" s="100"/>
      <c r="C148" s="56"/>
      <c r="D148" s="57"/>
      <c r="E148" s="57"/>
      <c r="F148" s="58">
        <v>1</v>
      </c>
      <c r="G148" s="111">
        <f>SUM(L149)/J151</f>
        <v>334.29898516783766</v>
      </c>
      <c r="H148" s="98"/>
      <c r="I148" s="98"/>
      <c r="J148" s="98">
        <v>1.2</v>
      </c>
      <c r="K148" s="39">
        <f t="shared" si="0"/>
        <v>401.15879999999999</v>
      </c>
      <c r="L148" s="40">
        <f>IF(C148&lt;&gt;0,ROUND(SUM(K148:INDEX($K148:K$210,MATCH("*",$C149:C$210,0),1)),4),0)</f>
        <v>0</v>
      </c>
      <c r="M148" s="101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collapsed="1">
      <c r="A149" s="43">
        <f t="shared" si="73"/>
        <v>14</v>
      </c>
      <c r="B149" s="100" t="s">
        <v>88</v>
      </c>
      <c r="C149" s="56" t="s">
        <v>16</v>
      </c>
      <c r="D149" s="57">
        <v>95000</v>
      </c>
      <c r="E149" s="57"/>
      <c r="F149" s="58"/>
      <c r="G149" s="98"/>
      <c r="H149" s="98"/>
      <c r="I149" s="98"/>
      <c r="J149" s="98"/>
      <c r="K149" s="39">
        <f t="shared" si="0"/>
        <v>0</v>
      </c>
      <c r="L149" s="40">
        <f>IF(C149&lt;&gt;0,ROUND(SUM(K149:INDEX($K149:K$210,MATCH("*",$C150:C$210,0),1)),4),0)</f>
        <v>42.823700000000002</v>
      </c>
      <c r="M149" s="101">
        <f t="shared" ref="M149:M150" si="74">D149*L149</f>
        <v>4068251.5</v>
      </c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hidden="1" customHeight="1" outlineLevel="1">
      <c r="A150" s="43" t="str">
        <f>IF(C150="","",SUBTOTAL(103,$C$90:C150))</f>
        <v/>
      </c>
      <c r="B150" s="97" t="s">
        <v>89</v>
      </c>
      <c r="C150" s="76"/>
      <c r="D150" s="109"/>
      <c r="E150" s="109"/>
      <c r="F150" s="58">
        <v>1</v>
      </c>
      <c r="G150" s="98">
        <f>264.789/130*SUM(L205:L206,L208)</f>
        <v>252.05875961538462</v>
      </c>
      <c r="H150" s="98"/>
      <c r="I150" s="98"/>
      <c r="J150" s="54">
        <f t="shared" ref="J150:J152" si="75">0.122*1.05</f>
        <v>0.12809999999999999</v>
      </c>
      <c r="K150" s="39">
        <f t="shared" si="0"/>
        <v>32.288699999999999</v>
      </c>
      <c r="L150" s="96">
        <f t="array" ref="L150">IF(C150&lt;&gt;0,ROUND(SUM(K150:INDEX(K150:$K$152,MATCH("*",#REF!,0),1)),4),0)</f>
        <v>0</v>
      </c>
      <c r="M150" s="41">
        <f t="shared" si="74"/>
        <v>0</v>
      </c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hidden="1" customHeight="1" outlineLevel="1">
      <c r="A151" s="43"/>
      <c r="B151" s="97" t="s">
        <v>90</v>
      </c>
      <c r="C151" s="76"/>
      <c r="D151" s="109"/>
      <c r="E151" s="109"/>
      <c r="F151" s="58">
        <v>1</v>
      </c>
      <c r="G151" s="98">
        <f>L97+L103+L115</f>
        <v>77.056600000000003</v>
      </c>
      <c r="H151" s="98"/>
      <c r="I151" s="98"/>
      <c r="J151" s="54">
        <f t="shared" si="75"/>
        <v>0.12809999999999999</v>
      </c>
      <c r="K151" s="39">
        <f t="shared" si="0"/>
        <v>9.8710000000000004</v>
      </c>
      <c r="L151" s="40"/>
      <c r="M151" s="101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hidden="1" customHeight="1" outlineLevel="1">
      <c r="A152" s="43" t="str">
        <f>IF(C152="","",SUBTOTAL(103,$C$91:C152))</f>
        <v/>
      </c>
      <c r="B152" s="97" t="s">
        <v>91</v>
      </c>
      <c r="C152" s="56"/>
      <c r="D152" s="57"/>
      <c r="E152" s="57"/>
      <c r="F152" s="58">
        <v>1</v>
      </c>
      <c r="G152" s="98">
        <v>0.9</v>
      </c>
      <c r="H152" s="98">
        <f>+((19*0.25)^2+(3.6/21*19)^2)^0.5</f>
        <v>5.7594686900647991</v>
      </c>
      <c r="I152" s="98"/>
      <c r="J152" s="54">
        <f t="shared" si="75"/>
        <v>0.12809999999999999</v>
      </c>
      <c r="K152" s="39">
        <f t="shared" si="0"/>
        <v>0.66400000000000003</v>
      </c>
      <c r="L152" s="40"/>
      <c r="M152" s="101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collapsed="1">
      <c r="A153" s="43">
        <f t="shared" ref="A153:A157" si="76">IF(C153="","",SUBTOTAL(103,$C$97:C153))</f>
        <v>15</v>
      </c>
      <c r="B153" s="100" t="s">
        <v>92</v>
      </c>
      <c r="C153" s="56" t="s">
        <v>16</v>
      </c>
      <c r="D153" s="57">
        <v>75000</v>
      </c>
      <c r="E153" s="57"/>
      <c r="F153" s="58"/>
      <c r="G153" s="98"/>
      <c r="H153" s="98"/>
      <c r="I153" s="98"/>
      <c r="J153" s="98"/>
      <c r="K153" s="39">
        <f t="shared" si="0"/>
        <v>0</v>
      </c>
      <c r="L153" s="40">
        <f>IF(C153&lt;&gt;0,ROUND(SUM(K153:INDEX($K153:K$210,MATCH("*",$C154:C$210,0),1)),4),0)</f>
        <v>70.904799999999994</v>
      </c>
      <c r="M153" s="101">
        <f>D153*L153</f>
        <v>5317860</v>
      </c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hidden="1" customHeight="1" outlineLevel="1">
      <c r="A154" s="43" t="str">
        <f t="shared" si="76"/>
        <v/>
      </c>
      <c r="B154" s="100"/>
      <c r="C154" s="56"/>
      <c r="D154" s="57"/>
      <c r="E154" s="57"/>
      <c r="F154" s="58">
        <v>1</v>
      </c>
      <c r="G154" s="98">
        <f>G148</f>
        <v>334.29898516783766</v>
      </c>
      <c r="H154" s="98"/>
      <c r="I154" s="98"/>
      <c r="J154" s="98">
        <f>0.202*1.05</f>
        <v>0.21210000000000001</v>
      </c>
      <c r="K154" s="39">
        <f t="shared" si="0"/>
        <v>70.904799999999994</v>
      </c>
      <c r="L154" s="40">
        <f>IF(C154&lt;&gt;0,ROUND(SUM(K154:INDEX($K154:K$210,MATCH("*",$C155:C$210,0),1)),4),0)</f>
        <v>0</v>
      </c>
      <c r="M154" s="101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collapsed="1">
      <c r="A155" s="43">
        <f t="shared" si="76"/>
        <v>16</v>
      </c>
      <c r="B155" s="100" t="s">
        <v>93</v>
      </c>
      <c r="C155" s="56" t="s">
        <v>16</v>
      </c>
      <c r="D155" s="57">
        <v>10000</v>
      </c>
      <c r="E155" s="57"/>
      <c r="F155" s="58"/>
      <c r="G155" s="98"/>
      <c r="H155" s="98"/>
      <c r="I155" s="98"/>
      <c r="J155" s="98"/>
      <c r="K155" s="39">
        <f t="shared" si="0"/>
        <v>0</v>
      </c>
      <c r="L155" s="40">
        <f>IF(C155&lt;&gt;0,ROUND(SUM(K155:INDEX($K155:K$210,MATCH("*",$C156:C$210,0),1)),4),0)</f>
        <v>401.1044</v>
      </c>
      <c r="M155" s="101">
        <f>D155*L155</f>
        <v>4011044</v>
      </c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hidden="1" customHeight="1" outlineLevel="1">
      <c r="A156" s="43" t="str">
        <f t="shared" si="76"/>
        <v/>
      </c>
      <c r="B156" s="100"/>
      <c r="C156" s="56"/>
      <c r="D156" s="57"/>
      <c r="E156" s="57"/>
      <c r="F156" s="58">
        <v>1</v>
      </c>
      <c r="G156" s="98">
        <f>SUM(K158:K159)/J158</f>
        <v>334.25370148059221</v>
      </c>
      <c r="H156" s="98"/>
      <c r="I156" s="98"/>
      <c r="J156" s="98">
        <v>1.2</v>
      </c>
      <c r="K156" s="39">
        <f t="shared" si="0"/>
        <v>401.1044</v>
      </c>
      <c r="L156" s="40">
        <f>IF(C156&lt;&gt;0,ROUND(SUM(K156:INDEX($K156:K$210,MATCH("*",$C157:C$210,0),1)),4),0)</f>
        <v>0</v>
      </c>
      <c r="M156" s="101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collapsed="1">
      <c r="A157" s="43">
        <f t="shared" si="76"/>
        <v>17</v>
      </c>
      <c r="B157" s="100" t="s">
        <v>94</v>
      </c>
      <c r="C157" s="56" t="s">
        <v>16</v>
      </c>
      <c r="D157" s="57">
        <v>115000</v>
      </c>
      <c r="E157" s="57"/>
      <c r="F157" s="58"/>
      <c r="G157" s="98"/>
      <c r="H157" s="98"/>
      <c r="I157" s="98"/>
      <c r="J157" s="98"/>
      <c r="K157" s="39">
        <f t="shared" si="0"/>
        <v>0</v>
      </c>
      <c r="L157" s="40">
        <f>IF(C157&lt;&gt;0,ROUND(SUM(K157:INDEX($K157:K$210,MATCH("*",$C158:C$210,0),1)),4),0)</f>
        <v>41.765000000000001</v>
      </c>
      <c r="M157" s="101">
        <f t="shared" ref="M157:M158" si="77">D157*L157</f>
        <v>4802975</v>
      </c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hidden="1" customHeight="1" outlineLevel="1">
      <c r="A158" s="43" t="str">
        <f>IF(C158="","",SUBTOTAL(103,$C$90:C158))</f>
        <v/>
      </c>
      <c r="B158" s="97" t="s">
        <v>89</v>
      </c>
      <c r="C158" s="56"/>
      <c r="D158" s="57"/>
      <c r="E158" s="57"/>
      <c r="F158" s="58">
        <v>1</v>
      </c>
      <c r="G158" s="98">
        <f>351.1349/130*SUM(L205:L206,L208)</f>
        <v>334.25341442307695</v>
      </c>
      <c r="H158" s="98"/>
      <c r="I158" s="98"/>
      <c r="J158" s="112">
        <f>0.119*1.05</f>
        <v>0.12495000000000001</v>
      </c>
      <c r="K158" s="39">
        <f t="shared" si="0"/>
        <v>41.765000000000001</v>
      </c>
      <c r="L158" s="96">
        <f t="array" ref="L158">IF(C158&lt;&gt;0,ROUND(SUM(K158:INDEX(K158:$K$159,MATCH("*",#REF!,0),1)),4),0)</f>
        <v>0</v>
      </c>
      <c r="M158" s="41">
        <f t="shared" si="77"/>
        <v>0</v>
      </c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hidden="1" customHeight="1" outlineLevel="1">
      <c r="A159" s="43"/>
      <c r="B159" s="97" t="s">
        <v>90</v>
      </c>
      <c r="C159" s="56"/>
      <c r="D159" s="57"/>
      <c r="E159" s="57"/>
      <c r="F159" s="58">
        <v>1</v>
      </c>
      <c r="G159" s="98">
        <v>0</v>
      </c>
      <c r="H159" s="98"/>
      <c r="I159" s="98"/>
      <c r="J159" s="112"/>
      <c r="K159" s="39">
        <f t="shared" si="0"/>
        <v>0</v>
      </c>
      <c r="L159" s="40"/>
      <c r="M159" s="101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collapsed="1">
      <c r="A160" s="43">
        <f t="shared" ref="A160:A194" si="78">IF(C160="","",SUBTOTAL(103,$C$97:C160))</f>
        <v>18</v>
      </c>
      <c r="B160" s="100" t="s">
        <v>95</v>
      </c>
      <c r="C160" s="56" t="s">
        <v>16</v>
      </c>
      <c r="D160" s="57">
        <v>85000</v>
      </c>
      <c r="E160" s="57"/>
      <c r="F160" s="58"/>
      <c r="G160" s="98"/>
      <c r="H160" s="98"/>
      <c r="I160" s="98"/>
      <c r="J160" s="98"/>
      <c r="K160" s="39">
        <f t="shared" si="0"/>
        <v>0</v>
      </c>
      <c r="L160" s="40">
        <f t="array" ref="L160">IF(C160&lt;&gt;0,ROUND(SUM(K160:INDEX($K160:K$210,MATCH("*",C161:$C$210,0),1)),4),0)</f>
        <v>66.332599999999999</v>
      </c>
      <c r="M160" s="101">
        <f>D160*L160</f>
        <v>5638271</v>
      </c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hidden="1" customHeight="1" outlineLevel="1">
      <c r="A161" s="43" t="str">
        <f t="shared" si="78"/>
        <v/>
      </c>
      <c r="B161" s="100"/>
      <c r="C161" s="56"/>
      <c r="D161" s="57"/>
      <c r="E161" s="57"/>
      <c r="F161" s="58">
        <v>1</v>
      </c>
      <c r="G161" s="98">
        <f>G156</f>
        <v>334.25370148059221</v>
      </c>
      <c r="H161" s="98"/>
      <c r="I161" s="98"/>
      <c r="J161" s="98">
        <f>0.189*1.05</f>
        <v>0.19845000000000002</v>
      </c>
      <c r="K161" s="39">
        <f t="shared" si="0"/>
        <v>66.332599999999999</v>
      </c>
      <c r="L161" s="40">
        <f t="array" ref="L161">IF(C161&lt;&gt;0,ROUND(SUM(K161:INDEX($K161:K$210,MATCH("*",C168:$C$210,0),1)),4),0)</f>
        <v>0</v>
      </c>
      <c r="M161" s="101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collapsed="1">
      <c r="A162" s="43">
        <f t="shared" si="78"/>
        <v>19</v>
      </c>
      <c r="B162" s="100" t="s">
        <v>96</v>
      </c>
      <c r="C162" s="56" t="s">
        <v>97</v>
      </c>
      <c r="D162" s="57">
        <v>90000</v>
      </c>
      <c r="E162" s="57"/>
      <c r="F162" s="58"/>
      <c r="G162" s="98"/>
      <c r="H162" s="98"/>
      <c r="I162" s="98"/>
      <c r="J162" s="98"/>
      <c r="K162" s="39">
        <f t="shared" si="0"/>
        <v>0</v>
      </c>
      <c r="L162" s="40">
        <f t="array" ref="L162">IF(C162&lt;&gt;0,ROUND(SUM(K162:INDEX($K162:K$210,MATCH("*",C163:$C$210,0),1)),4),0)</f>
        <v>6.3288000000000002</v>
      </c>
      <c r="M162" s="101">
        <f>D162*L162</f>
        <v>569592</v>
      </c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hidden="1" customHeight="1" outlineLevel="1">
      <c r="A163" s="43" t="str">
        <f t="shared" si="78"/>
        <v/>
      </c>
      <c r="B163" s="97" t="s">
        <v>98</v>
      </c>
      <c r="C163" s="56"/>
      <c r="D163" s="57"/>
      <c r="E163" s="57"/>
      <c r="F163" s="58">
        <v>1</v>
      </c>
      <c r="G163" s="98">
        <v>0.8</v>
      </c>
      <c r="H163" s="98">
        <f>5.5-0.2*2</f>
        <v>5.0999999999999996</v>
      </c>
      <c r="I163" s="98"/>
      <c r="J163" s="98">
        <f t="shared" ref="J163:J164" si="79">1/2</f>
        <v>0.5</v>
      </c>
      <c r="K163" s="39">
        <f t="shared" si="0"/>
        <v>2.04</v>
      </c>
      <c r="L163" s="40"/>
      <c r="M163" s="101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hidden="1" customHeight="1" outlineLevel="1">
      <c r="A164" s="43" t="str">
        <f t="shared" si="78"/>
        <v/>
      </c>
      <c r="B164" s="97"/>
      <c r="C164" s="56"/>
      <c r="D164" s="57"/>
      <c r="E164" s="57"/>
      <c r="F164" s="58">
        <f>F163</f>
        <v>1</v>
      </c>
      <c r="G164" s="98">
        <f>G163*2+H163*2</f>
        <v>11.799999999999999</v>
      </c>
      <c r="H164" s="98"/>
      <c r="I164" s="98">
        <v>0.25</v>
      </c>
      <c r="J164" s="98">
        <f t="shared" si="79"/>
        <v>0.5</v>
      </c>
      <c r="K164" s="39">
        <f t="shared" si="0"/>
        <v>1.4750000000000001</v>
      </c>
      <c r="L164" s="40"/>
      <c r="M164" s="101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hidden="1" customHeight="1" outlineLevel="1">
      <c r="A165" s="43" t="str">
        <f t="shared" si="78"/>
        <v/>
      </c>
      <c r="B165" s="97" t="s">
        <v>99</v>
      </c>
      <c r="C165" s="56"/>
      <c r="D165" s="57"/>
      <c r="E165" s="57"/>
      <c r="F165" s="58"/>
      <c r="G165" s="98"/>
      <c r="H165" s="98"/>
      <c r="I165" s="98"/>
      <c r="J165" s="98"/>
      <c r="K165" s="39">
        <f t="shared" si="0"/>
        <v>0</v>
      </c>
      <c r="L165" s="40"/>
      <c r="M165" s="101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hidden="1" customHeight="1" outlineLevel="1">
      <c r="A166" s="43" t="str">
        <f t="shared" si="78"/>
        <v/>
      </c>
      <c r="B166" s="97" t="str">
        <f>B105</f>
        <v>Vệ sinh phòng ngủ lầu</v>
      </c>
      <c r="C166" s="56"/>
      <c r="D166" s="57"/>
      <c r="E166" s="57"/>
      <c r="F166" s="113">
        <f t="shared" ref="F166:H166" si="80">F105</f>
        <v>1</v>
      </c>
      <c r="G166" s="114">
        <f t="shared" si="80"/>
        <v>1.75</v>
      </c>
      <c r="H166" s="114">
        <f t="shared" si="80"/>
        <v>2.0499999999999998</v>
      </c>
      <c r="I166" s="98"/>
      <c r="J166" s="98">
        <f t="shared" ref="J166:J167" si="81">1/2</f>
        <v>0.5</v>
      </c>
      <c r="K166" s="39">
        <f t="shared" si="0"/>
        <v>1.7938000000000001</v>
      </c>
      <c r="L166" s="40"/>
      <c r="M166" s="101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hidden="1" customHeight="1" outlineLevel="1">
      <c r="A167" s="43" t="str">
        <f t="shared" si="78"/>
        <v/>
      </c>
      <c r="B167" s="97"/>
      <c r="C167" s="56"/>
      <c r="D167" s="57"/>
      <c r="E167" s="57"/>
      <c r="F167" s="58">
        <f>F166</f>
        <v>1</v>
      </c>
      <c r="G167" s="98">
        <f>G166*2+H166*2-0.8</f>
        <v>6.8</v>
      </c>
      <c r="H167" s="98"/>
      <c r="I167" s="98">
        <v>0.3</v>
      </c>
      <c r="J167" s="98">
        <f t="shared" si="81"/>
        <v>0.5</v>
      </c>
      <c r="K167" s="39">
        <f t="shared" si="0"/>
        <v>1.02</v>
      </c>
      <c r="L167" s="40"/>
      <c r="M167" s="101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collapsed="1">
      <c r="A168" s="43">
        <f t="shared" si="78"/>
        <v>20</v>
      </c>
      <c r="B168" s="100" t="s">
        <v>100</v>
      </c>
      <c r="C168" s="56" t="s">
        <v>101</v>
      </c>
      <c r="D168" s="57">
        <v>28400</v>
      </c>
      <c r="E168" s="57"/>
      <c r="F168" s="58"/>
      <c r="G168" s="98"/>
      <c r="H168" s="98"/>
      <c r="I168" s="98"/>
      <c r="J168" s="98"/>
      <c r="K168" s="39">
        <f t="shared" si="0"/>
        <v>0</v>
      </c>
      <c r="L168" s="40">
        <f>IF(C168&lt;&gt;0,ROUND(SUM(K168:INDEX($K168:K$210,MATCH("*",$C169:C$210,0),1)),4),0)</f>
        <v>114</v>
      </c>
      <c r="M168" s="101">
        <f>D168*L168</f>
        <v>3237600</v>
      </c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hidden="1" customHeight="1" outlineLevel="1">
      <c r="A169" s="43" t="str">
        <f t="shared" si="78"/>
        <v/>
      </c>
      <c r="B169" s="100"/>
      <c r="C169" s="56"/>
      <c r="D169" s="57"/>
      <c r="E169" s="57"/>
      <c r="F169" s="58">
        <v>1</v>
      </c>
      <c r="G169" s="98">
        <f>ROUND(120/130*SUM(L205:L206,L208),0)</f>
        <v>114</v>
      </c>
      <c r="H169" s="98"/>
      <c r="I169" s="98"/>
      <c r="J169" s="98"/>
      <c r="K169" s="39">
        <f t="shared" si="0"/>
        <v>114</v>
      </c>
      <c r="L169" s="40">
        <f>IF(C169&lt;&gt;0,ROUND(SUM(K169:INDEX($K169:K$210,MATCH("*",$C170:C$210,0),1)),4),0)</f>
        <v>0</v>
      </c>
      <c r="M169" s="101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collapsed="1">
      <c r="A170" s="43">
        <f t="shared" si="78"/>
        <v>21</v>
      </c>
      <c r="B170" s="100" t="s">
        <v>102</v>
      </c>
      <c r="C170" s="56" t="s">
        <v>101</v>
      </c>
      <c r="D170" s="57">
        <v>52990</v>
      </c>
      <c r="E170" s="57"/>
      <c r="F170" s="58"/>
      <c r="G170" s="98"/>
      <c r="H170" s="98"/>
      <c r="I170" s="98"/>
      <c r="J170" s="98"/>
      <c r="K170" s="39">
        <f t="shared" si="0"/>
        <v>0</v>
      </c>
      <c r="L170" s="40">
        <f>IF(C170&lt;&gt;0,ROUND(SUM(K170:INDEX($K170:K$210,MATCH("*",$C171:C$210,0),1)),4),0)</f>
        <v>190</v>
      </c>
      <c r="M170" s="101">
        <f>D170*L170</f>
        <v>10068100</v>
      </c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hidden="1" customHeight="1" outlineLevel="1">
      <c r="A171" s="43" t="str">
        <f t="shared" si="78"/>
        <v/>
      </c>
      <c r="B171" s="100"/>
      <c r="C171" s="56"/>
      <c r="D171" s="57">
        <v>52990</v>
      </c>
      <c r="E171" s="57"/>
      <c r="F171" s="58">
        <v>1</v>
      </c>
      <c r="G171" s="98">
        <f>ROUND(200/130*SUM(L205:L206,L208),0)</f>
        <v>190</v>
      </c>
      <c r="H171" s="98"/>
      <c r="I171" s="98"/>
      <c r="J171" s="98"/>
      <c r="K171" s="39">
        <f t="shared" si="0"/>
        <v>190</v>
      </c>
      <c r="L171" s="40">
        <f>IF(C171&lt;&gt;0,ROUND(SUM(K171:INDEX($K171:K$210,MATCH("*",$C173:C$210,0),1)),4),0)</f>
        <v>0</v>
      </c>
      <c r="M171" s="101"/>
      <c r="N171" s="4">
        <f>5*20</f>
        <v>100</v>
      </c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hidden="1" customHeight="1" outlineLevel="1">
      <c r="A172" s="43"/>
      <c r="B172" s="100"/>
      <c r="C172" s="56"/>
      <c r="D172" s="57"/>
      <c r="E172" s="57"/>
      <c r="F172" s="58"/>
      <c r="G172" s="98"/>
      <c r="H172" s="98"/>
      <c r="I172" s="98"/>
      <c r="J172" s="98"/>
      <c r="K172" s="39"/>
      <c r="L172" s="40"/>
      <c r="M172" s="101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31.5">
      <c r="A173" s="43">
        <f t="shared" si="78"/>
        <v>22</v>
      </c>
      <c r="B173" s="100" t="s">
        <v>138</v>
      </c>
      <c r="C173" s="56" t="s">
        <v>103</v>
      </c>
      <c r="D173" s="144">
        <v>5530556</v>
      </c>
      <c r="E173" s="57"/>
      <c r="F173" s="58"/>
      <c r="G173" s="98"/>
      <c r="H173" s="98"/>
      <c r="I173" s="98"/>
      <c r="J173" s="98"/>
      <c r="K173" s="39">
        <f t="shared" si="0"/>
        <v>0</v>
      </c>
      <c r="L173" s="40">
        <f>IF(C173&lt;&gt;0,ROUND(SUM(K173:INDEX($K173:K$210,MATCH("*",$C174:C$210,0),1)),4),0)</f>
        <v>1</v>
      </c>
      <c r="M173" s="101">
        <f>D173*L173</f>
        <v>5530556</v>
      </c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47.25" outlineLevel="1">
      <c r="A174" s="43" t="str">
        <f t="shared" si="78"/>
        <v/>
      </c>
      <c r="B174" s="145" t="s">
        <v>140</v>
      </c>
      <c r="C174" s="56"/>
      <c r="D174" s="57">
        <v>5206000</v>
      </c>
      <c r="E174" s="57"/>
      <c r="F174" s="58">
        <v>1</v>
      </c>
      <c r="G174" s="98"/>
      <c r="H174" s="98"/>
      <c r="I174" s="98"/>
      <c r="J174" s="98"/>
      <c r="K174" s="39">
        <f t="shared" si="0"/>
        <v>1</v>
      </c>
      <c r="L174" s="40">
        <v>1</v>
      </c>
      <c r="M174" s="101">
        <f>D174*L174</f>
        <v>5206000</v>
      </c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collapsed="1">
      <c r="A175" s="43">
        <f t="shared" si="78"/>
        <v>23</v>
      </c>
      <c r="B175" s="100" t="s">
        <v>104</v>
      </c>
      <c r="C175" s="56" t="s">
        <v>41</v>
      </c>
      <c r="D175" s="57">
        <v>2350000</v>
      </c>
      <c r="E175" s="57"/>
      <c r="F175" s="58"/>
      <c r="G175" s="98"/>
      <c r="H175" s="98"/>
      <c r="I175" s="98"/>
      <c r="J175" s="98"/>
      <c r="K175" s="39">
        <f t="shared" si="0"/>
        <v>0</v>
      </c>
      <c r="L175" s="40">
        <f>IF(C175&lt;&gt;0,ROUND(SUM(K175:INDEX($K175:K$210,MATCH("*",$C176:C$210,0),1)),4),0)</f>
        <v>33.92</v>
      </c>
      <c r="M175" s="101">
        <f>D175*L175</f>
        <v>79712000</v>
      </c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hidden="1" customHeight="1" outlineLevel="1">
      <c r="A176" s="43" t="str">
        <f t="shared" si="78"/>
        <v/>
      </c>
      <c r="B176" s="115" t="s">
        <v>105</v>
      </c>
      <c r="C176" s="56"/>
      <c r="D176" s="57"/>
      <c r="E176" s="57"/>
      <c r="F176" s="58">
        <v>1</v>
      </c>
      <c r="G176" s="98">
        <f>5.5-0.2</f>
        <v>5.3</v>
      </c>
      <c r="H176" s="98"/>
      <c r="I176" s="98">
        <f>6.4</f>
        <v>6.4</v>
      </c>
      <c r="J176" s="98"/>
      <c r="K176" s="39">
        <f t="shared" si="0"/>
        <v>33.92</v>
      </c>
      <c r="L176" s="40">
        <f t="array" ref="L176">IF(C176&lt;&gt;0,ROUND(SUM(K176:INDEX($K176:K$210,MATCH("*",C182:$C$210,0),1)),4),0)</f>
        <v>0</v>
      </c>
      <c r="M176" s="101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collapsed="1">
      <c r="A177" s="43">
        <f t="shared" si="78"/>
        <v>24</v>
      </c>
      <c r="B177" s="100" t="s">
        <v>106</v>
      </c>
      <c r="C177" s="56" t="s">
        <v>41</v>
      </c>
      <c r="D177" s="57">
        <v>2350000</v>
      </c>
      <c r="E177" s="57"/>
      <c r="F177" s="58"/>
      <c r="G177" s="98"/>
      <c r="H177" s="98"/>
      <c r="I177" s="98"/>
      <c r="J177" s="98"/>
      <c r="K177" s="39">
        <f t="shared" si="0"/>
        <v>0</v>
      </c>
      <c r="L177" s="40">
        <f t="array" ref="L177">IF(C177&lt;&gt;0,ROUND(SUM(K177:INDEX($K177:K$210,MATCH("*",C178:$C$210,0),1)),4),0)</f>
        <v>19.6828</v>
      </c>
      <c r="M177" s="101">
        <f>D177*L177</f>
        <v>46254580</v>
      </c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hidden="1" customHeight="1" outlineLevel="1">
      <c r="A178" s="43" t="str">
        <f t="shared" si="78"/>
        <v/>
      </c>
      <c r="B178" s="115" t="s">
        <v>105</v>
      </c>
      <c r="C178" s="56"/>
      <c r="D178" s="57"/>
      <c r="E178" s="57"/>
      <c r="F178" s="58">
        <v>1</v>
      </c>
      <c r="G178" s="98">
        <f>5.5-0.2</f>
        <v>5.3</v>
      </c>
      <c r="H178" s="98"/>
      <c r="I178" s="98">
        <v>2.25</v>
      </c>
      <c r="J178" s="98"/>
      <c r="K178" s="39">
        <f t="shared" si="0"/>
        <v>11.925000000000001</v>
      </c>
      <c r="L178" s="40">
        <f t="array" ref="L178">IF(C178&lt;&gt;0,ROUND(SUM(K178:INDEX($K178:K$210,MATCH("*",C182:$C$210,0),1)),4),0)</f>
        <v>0</v>
      </c>
      <c r="M178" s="101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hidden="1" customHeight="1" outlineLevel="1">
      <c r="A179" s="43" t="str">
        <f t="shared" si="78"/>
        <v/>
      </c>
      <c r="B179" s="115" t="s">
        <v>107</v>
      </c>
      <c r="C179" s="56"/>
      <c r="D179" s="57"/>
      <c r="E179" s="57"/>
      <c r="F179" s="58">
        <v>1</v>
      </c>
      <c r="G179" s="98">
        <v>3.95</v>
      </c>
      <c r="H179" s="98"/>
      <c r="I179" s="98">
        <v>1.964</v>
      </c>
      <c r="J179" s="98"/>
      <c r="K179" s="39">
        <f t="shared" si="0"/>
        <v>7.7577999999999996</v>
      </c>
      <c r="L179" s="40"/>
      <c r="M179" s="101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collapsed="1">
      <c r="A180" s="43">
        <f t="shared" si="78"/>
        <v>25</v>
      </c>
      <c r="B180" s="100" t="s">
        <v>108</v>
      </c>
      <c r="C180" s="56" t="s">
        <v>41</v>
      </c>
      <c r="D180" s="57">
        <v>2200000</v>
      </c>
      <c r="E180" s="57"/>
      <c r="F180" s="58"/>
      <c r="G180" s="98"/>
      <c r="H180" s="98"/>
      <c r="I180" s="98"/>
      <c r="J180" s="98"/>
      <c r="K180" s="39">
        <f t="shared" si="0"/>
        <v>0</v>
      </c>
      <c r="L180" s="40">
        <f>IF(C180&lt;&gt;0,ROUND(SUM(K180:INDEX($K180:K$210,MATCH("*",$C181:C$210,0),1)),4),0)</f>
        <v>3.96</v>
      </c>
      <c r="M180" s="101">
        <f>D180*L180</f>
        <v>8712000</v>
      </c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hidden="1" customHeight="1" outlineLevel="1">
      <c r="A181" s="43" t="str">
        <f t="shared" si="78"/>
        <v/>
      </c>
      <c r="B181" s="97" t="s">
        <v>107</v>
      </c>
      <c r="C181" s="56"/>
      <c r="D181" s="57"/>
      <c r="E181" s="57"/>
      <c r="F181" s="58">
        <v>2</v>
      </c>
      <c r="G181" s="98">
        <v>0.9</v>
      </c>
      <c r="H181" s="98"/>
      <c r="I181" s="98">
        <v>2.2000000000000002</v>
      </c>
      <c r="J181" s="98"/>
      <c r="K181" s="39">
        <f t="shared" si="0"/>
        <v>3.96</v>
      </c>
      <c r="L181" s="40">
        <f>IF(C181&lt;&gt;0,ROUND(SUM(K181:INDEX($K181:K$210,MATCH("*",$C182:C$210,0),1)),4),0)</f>
        <v>0</v>
      </c>
      <c r="M181" s="101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collapsed="1">
      <c r="A182" s="43">
        <f t="shared" si="78"/>
        <v>26</v>
      </c>
      <c r="B182" s="100" t="s">
        <v>109</v>
      </c>
      <c r="C182" s="56" t="s">
        <v>41</v>
      </c>
      <c r="D182" s="57">
        <v>2200000</v>
      </c>
      <c r="E182" s="57"/>
      <c r="F182" s="58"/>
      <c r="G182" s="98"/>
      <c r="H182" s="98"/>
      <c r="I182" s="98"/>
      <c r="J182" s="98"/>
      <c r="K182" s="39">
        <f t="shared" si="0"/>
        <v>0</v>
      </c>
      <c r="L182" s="40">
        <f>IF(C182&lt;&gt;0,ROUND(SUM(K182:INDEX($K182:K$210,MATCH("*",$C183:C$210,0),1)),4),0)</f>
        <v>3.52</v>
      </c>
      <c r="M182" s="101">
        <f>D182*L182</f>
        <v>7744000</v>
      </c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hidden="1" customHeight="1" outlineLevel="1">
      <c r="A183" s="43" t="str">
        <f t="shared" si="78"/>
        <v/>
      </c>
      <c r="B183" s="97" t="s">
        <v>107</v>
      </c>
      <c r="C183" s="56"/>
      <c r="D183" s="57"/>
      <c r="E183" s="57"/>
      <c r="F183" s="58">
        <v>2</v>
      </c>
      <c r="G183" s="98">
        <v>0.8</v>
      </c>
      <c r="H183" s="98"/>
      <c r="I183" s="98">
        <v>2.2000000000000002</v>
      </c>
      <c r="J183" s="98"/>
      <c r="K183" s="39">
        <f t="shared" si="0"/>
        <v>3.52</v>
      </c>
      <c r="L183" s="40">
        <f>IF(C183&lt;&gt;0,ROUND(SUM(K183:INDEX($K183:K$210,MATCH("*",$C184:C$210,0),1)),4),0)</f>
        <v>0</v>
      </c>
      <c r="M183" s="101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collapsed="1">
      <c r="A184" s="43">
        <f t="shared" si="78"/>
        <v>27</v>
      </c>
      <c r="B184" s="100" t="s">
        <v>110</v>
      </c>
      <c r="C184" s="56" t="s">
        <v>41</v>
      </c>
      <c r="D184" s="57">
        <v>2250000</v>
      </c>
      <c r="E184" s="57"/>
      <c r="F184" s="58"/>
      <c r="G184" s="98"/>
      <c r="H184" s="98"/>
      <c r="I184" s="98"/>
      <c r="J184" s="98"/>
      <c r="K184" s="39">
        <f t="shared" si="0"/>
        <v>0</v>
      </c>
      <c r="L184" s="40">
        <f>IF(C184&lt;&gt;0,ROUND(SUM(K184:INDEX($K184:K$210,MATCH("*",$C185:C$210,0),1)),4),0)</f>
        <v>2.6612</v>
      </c>
      <c r="M184" s="101">
        <f>D184*L184</f>
        <v>5987700</v>
      </c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hidden="1" customHeight="1" outlineLevel="1">
      <c r="A185" s="43" t="str">
        <f t="shared" si="78"/>
        <v/>
      </c>
      <c r="B185" s="115" t="s">
        <v>107</v>
      </c>
      <c r="C185" s="56"/>
      <c r="D185" s="57"/>
      <c r="E185" s="57"/>
      <c r="F185" s="58">
        <v>1</v>
      </c>
      <c r="G185" s="98">
        <v>1.355</v>
      </c>
      <c r="H185" s="98"/>
      <c r="I185" s="98">
        <v>1.964</v>
      </c>
      <c r="J185" s="98"/>
      <c r="K185" s="39">
        <f t="shared" si="0"/>
        <v>2.6612</v>
      </c>
      <c r="L185" s="40">
        <f t="array" ref="L185">IF(C185&lt;&gt;0,ROUND(SUM(K185:INDEX($K185:K$210,MATCH("*",C188:$C$210,0),1)),4),0)</f>
        <v>0</v>
      </c>
      <c r="M185" s="101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collapsed="1">
      <c r="A186" s="43">
        <f t="shared" si="78"/>
        <v>28</v>
      </c>
      <c r="B186" s="100" t="s">
        <v>111</v>
      </c>
      <c r="C186" s="56" t="s">
        <v>41</v>
      </c>
      <c r="D186" s="57">
        <v>2250000</v>
      </c>
      <c r="E186" s="57"/>
      <c r="F186" s="58"/>
      <c r="G186" s="98"/>
      <c r="H186" s="98"/>
      <c r="I186" s="98"/>
      <c r="J186" s="98"/>
      <c r="K186" s="39">
        <f t="shared" si="0"/>
        <v>0</v>
      </c>
      <c r="L186" s="40">
        <f t="array" ref="L186">IF(C186&lt;&gt;0,ROUND(SUM(K186:INDEX($K186:K$210,MATCH("*",C187:$C$210,0),1)),4),0)</f>
        <v>6.3760000000000003</v>
      </c>
      <c r="M186" s="101">
        <f>D186*L186</f>
        <v>14346000</v>
      </c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hidden="1" customHeight="1" outlineLevel="1">
      <c r="A187" s="43" t="str">
        <f t="shared" si="78"/>
        <v/>
      </c>
      <c r="B187" s="115" t="s">
        <v>105</v>
      </c>
      <c r="C187" s="56"/>
      <c r="D187" s="57"/>
      <c r="E187" s="57"/>
      <c r="F187" s="58">
        <v>1</v>
      </c>
      <c r="G187" s="98">
        <v>3.9849999999999999</v>
      </c>
      <c r="H187" s="98"/>
      <c r="I187" s="98">
        <v>1.6</v>
      </c>
      <c r="J187" s="98"/>
      <c r="K187" s="39">
        <f t="shared" si="0"/>
        <v>6.3760000000000003</v>
      </c>
      <c r="L187" s="40"/>
      <c r="M187" s="101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collapsed="1">
      <c r="A188" s="43">
        <f t="shared" si="78"/>
        <v>29</v>
      </c>
      <c r="B188" s="100" t="s">
        <v>112</v>
      </c>
      <c r="C188" s="56" t="s">
        <v>41</v>
      </c>
      <c r="D188" s="57">
        <v>1800000</v>
      </c>
      <c r="E188" s="57"/>
      <c r="F188" s="58"/>
      <c r="G188" s="98"/>
      <c r="H188" s="98"/>
      <c r="I188" s="98"/>
      <c r="J188" s="98"/>
      <c r="K188" s="39">
        <f t="shared" si="0"/>
        <v>0</v>
      </c>
      <c r="L188" s="40">
        <f t="array" ref="L188">IF(C188&lt;&gt;0,ROUND(SUM(K188:INDEX($K188:K$210,MATCH("*",C189:$C$210,0),1)),4),0)</f>
        <v>1.5760000000000001</v>
      </c>
      <c r="M188" s="101">
        <f>D188*L188</f>
        <v>2836800</v>
      </c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hidden="1" customHeight="1" outlineLevel="1">
      <c r="A189" s="43" t="str">
        <f t="shared" si="78"/>
        <v/>
      </c>
      <c r="B189" s="97" t="s">
        <v>113</v>
      </c>
      <c r="C189" s="56"/>
      <c r="D189" s="57"/>
      <c r="E189" s="57"/>
      <c r="F189" s="58">
        <v>1</v>
      </c>
      <c r="G189" s="98">
        <v>0.98499999999999999</v>
      </c>
      <c r="H189" s="98"/>
      <c r="I189" s="98">
        <v>1.6</v>
      </c>
      <c r="J189" s="98"/>
      <c r="K189" s="39">
        <f t="shared" si="0"/>
        <v>1.5760000000000001</v>
      </c>
      <c r="L189" s="40">
        <f t="array" ref="L189">IF(C189&lt;&gt;0,ROUND(SUM(K189:INDEX($K189:K$210,MATCH("*",C199:$C$210,0),1)),4),0)</f>
        <v>0</v>
      </c>
      <c r="M189" s="101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collapsed="1">
      <c r="A190" s="43">
        <f t="shared" si="78"/>
        <v>30</v>
      </c>
      <c r="B190" s="100" t="s">
        <v>114</v>
      </c>
      <c r="C190" s="56" t="s">
        <v>41</v>
      </c>
      <c r="D190" s="57">
        <v>1250000</v>
      </c>
      <c r="E190" s="57"/>
      <c r="F190" s="58"/>
      <c r="G190" s="98"/>
      <c r="H190" s="98"/>
      <c r="I190" s="98"/>
      <c r="J190" s="98"/>
      <c r="K190" s="39">
        <f t="shared" si="0"/>
        <v>0</v>
      </c>
      <c r="L190" s="40">
        <f t="array" ref="L190">IF(C190&lt;&gt;0,ROUND(SUM(K190:INDEX($K190:K$210,MATCH("*",C191:$C$210,0),1)),4),0)</f>
        <v>47.297499999999999</v>
      </c>
      <c r="M190" s="101">
        <f>D190*L190</f>
        <v>59121875</v>
      </c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hidden="1" customHeight="1" outlineLevel="1">
      <c r="A191" s="43" t="str">
        <f t="shared" si="78"/>
        <v/>
      </c>
      <c r="B191" s="97" t="s">
        <v>115</v>
      </c>
      <c r="C191" s="56"/>
      <c r="D191" s="57"/>
      <c r="E191" s="57"/>
      <c r="F191" s="58">
        <v>1</v>
      </c>
      <c r="G191" s="98">
        <v>3.8</v>
      </c>
      <c r="H191" s="98"/>
      <c r="I191" s="98">
        <v>5.0999999999999996</v>
      </c>
      <c r="J191" s="98"/>
      <c r="K191" s="39">
        <f t="shared" si="0"/>
        <v>19.38</v>
      </c>
      <c r="L191" s="40">
        <f t="array" ref="L191">IF(C191&lt;&gt;0,ROUND(SUM(K191:INDEX($K191:K$210,MATCH("*",C201:$C$210,0),1)),4),0)</f>
        <v>0</v>
      </c>
      <c r="M191" s="101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hidden="1" customHeight="1" outlineLevel="1">
      <c r="A192" s="43" t="str">
        <f t="shared" si="78"/>
        <v/>
      </c>
      <c r="B192" s="97"/>
      <c r="C192" s="56"/>
      <c r="D192" s="57"/>
      <c r="E192" s="57"/>
      <c r="F192" s="58">
        <v>1</v>
      </c>
      <c r="G192" s="98">
        <v>4.4000000000000004</v>
      </c>
      <c r="H192" s="98">
        <v>5.0999999999999996</v>
      </c>
      <c r="I192" s="98"/>
      <c r="J192" s="98"/>
      <c r="K192" s="39">
        <f t="shared" si="0"/>
        <v>22.44</v>
      </c>
      <c r="L192" s="40"/>
      <c r="M192" s="101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hidden="1" customHeight="1" outlineLevel="1">
      <c r="A193" s="43" t="str">
        <f t="shared" si="78"/>
        <v/>
      </c>
      <c r="B193" s="97" t="s">
        <v>116</v>
      </c>
      <c r="C193" s="56"/>
      <c r="D193" s="57"/>
      <c r="E193" s="57"/>
      <c r="F193" s="58">
        <v>1</v>
      </c>
      <c r="G193" s="98">
        <v>1.5649999999999999</v>
      </c>
      <c r="H193" s="98"/>
      <c r="I193" s="98">
        <v>3.5</v>
      </c>
      <c r="J193" s="98"/>
      <c r="K193" s="39">
        <f t="shared" si="0"/>
        <v>5.4775</v>
      </c>
      <c r="L193" s="40"/>
      <c r="M193" s="101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collapsed="1">
      <c r="A194" s="43">
        <f t="shared" si="78"/>
        <v>31</v>
      </c>
      <c r="B194" s="100" t="s">
        <v>117</v>
      </c>
      <c r="C194" s="56" t="s">
        <v>41</v>
      </c>
      <c r="D194" s="57">
        <v>800000</v>
      </c>
      <c r="E194" s="57"/>
      <c r="F194" s="58"/>
      <c r="G194" s="98"/>
      <c r="H194" s="98"/>
      <c r="I194" s="98"/>
      <c r="J194" s="98"/>
      <c r="K194" s="39">
        <f t="shared" si="0"/>
        <v>0</v>
      </c>
      <c r="L194" s="40">
        <f t="array" ref="L194">IF(C194&lt;&gt;0,ROUND(SUM(K194:INDEX($K194:K$210,MATCH("*",C195:$C$210,0),1)),4),0)</f>
        <v>11.55</v>
      </c>
      <c r="M194" s="101">
        <f>D194*L194</f>
        <v>9240000</v>
      </c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hidden="1" customHeight="1" outlineLevel="1">
      <c r="A195" s="43" t="str">
        <f t="shared" ref="A195:A201" si="82">IF(C195="","",SUBTOTAL(103,$C$97:C195))</f>
        <v/>
      </c>
      <c r="B195" s="97" t="s">
        <v>118</v>
      </c>
      <c r="C195" s="56"/>
      <c r="D195" s="57"/>
      <c r="E195" s="57"/>
      <c r="F195" s="58">
        <v>1</v>
      </c>
      <c r="G195" s="98">
        <v>4.8</v>
      </c>
      <c r="H195" s="98"/>
      <c r="I195" s="98">
        <v>1</v>
      </c>
      <c r="J195" s="98"/>
      <c r="K195" s="39">
        <f t="shared" si="0"/>
        <v>4.8</v>
      </c>
      <c r="L195" s="40">
        <f t="array" ref="L195">IF(C195&lt;&gt;0,ROUND(SUM(K195:INDEX($K195:K$210,MATCH("*",C198:$C$210,0),1)),4),0)</f>
        <v>0</v>
      </c>
      <c r="M195" s="101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hidden="1" customHeight="1" outlineLevel="1">
      <c r="A196" s="43" t="str">
        <f t="shared" si="82"/>
        <v/>
      </c>
      <c r="B196" s="115"/>
      <c r="C196" s="56"/>
      <c r="D196" s="57"/>
      <c r="E196" s="57"/>
      <c r="F196" s="58">
        <v>1</v>
      </c>
      <c r="G196" s="98">
        <f>4.8+0.95+1</f>
        <v>6.75</v>
      </c>
      <c r="H196" s="98"/>
      <c r="I196" s="98">
        <v>1</v>
      </c>
      <c r="J196" s="98"/>
      <c r="K196" s="39">
        <f t="shared" si="0"/>
        <v>6.75</v>
      </c>
      <c r="L196" s="40"/>
      <c r="M196" s="101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collapsed="1">
      <c r="A197" s="43">
        <f t="shared" si="82"/>
        <v>32</v>
      </c>
      <c r="B197" s="100" t="s">
        <v>119</v>
      </c>
      <c r="C197" s="56" t="s">
        <v>41</v>
      </c>
      <c r="D197" s="57">
        <v>2500000</v>
      </c>
      <c r="E197" s="57"/>
      <c r="F197" s="58"/>
      <c r="G197" s="98"/>
      <c r="H197" s="98"/>
      <c r="I197" s="98"/>
      <c r="J197" s="98"/>
      <c r="K197" s="39">
        <f t="shared" si="0"/>
        <v>0</v>
      </c>
      <c r="L197" s="40">
        <f>IF(C197&lt;&gt;0,ROUND(SUM(K197:INDEX($K197:K$210,MATCH("*",$C198:C$210,0),1)),4),0)</f>
        <v>8.9600000000000009</v>
      </c>
      <c r="M197" s="101">
        <f>D197*L197</f>
        <v>22400000.000000004</v>
      </c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hidden="1" customHeight="1" outlineLevel="1">
      <c r="A198" s="43" t="str">
        <f t="shared" si="82"/>
        <v/>
      </c>
      <c r="B198" s="115"/>
      <c r="C198" s="56"/>
      <c r="D198" s="57"/>
      <c r="E198" s="57"/>
      <c r="F198" s="58">
        <v>1</v>
      </c>
      <c r="G198" s="98">
        <v>3.2</v>
      </c>
      <c r="H198" s="98"/>
      <c r="I198" s="98">
        <v>2.8</v>
      </c>
      <c r="J198" s="98"/>
      <c r="K198" s="39">
        <f t="shared" si="0"/>
        <v>8.9600000000000009</v>
      </c>
      <c r="L198" s="40">
        <f>IF(C198&lt;&gt;0,ROUND(SUM(K198:INDEX($K198:K$210,MATCH("*",$C199:C$210,0),1)),4),0)</f>
        <v>0</v>
      </c>
      <c r="M198" s="101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collapsed="1">
      <c r="A199" s="43">
        <f t="shared" si="82"/>
        <v>33</v>
      </c>
      <c r="B199" s="100" t="s">
        <v>120</v>
      </c>
      <c r="C199" s="56" t="s">
        <v>41</v>
      </c>
      <c r="D199" s="57">
        <v>1150000</v>
      </c>
      <c r="E199" s="57"/>
      <c r="F199" s="58"/>
      <c r="G199" s="98"/>
      <c r="H199" s="98"/>
      <c r="I199" s="98"/>
      <c r="J199" s="98"/>
      <c r="K199" s="39">
        <f t="shared" si="0"/>
        <v>0</v>
      </c>
      <c r="L199" s="40">
        <f>IF(C199&lt;&gt;0,ROUND(SUM(K199:INDEX($K199:K$210,MATCH("*",$C200:C$210,0),1)),4),0)</f>
        <v>3.8</v>
      </c>
      <c r="M199" s="101">
        <f>D199*L199</f>
        <v>4370000</v>
      </c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hidden="1" customHeight="1" outlineLevel="1">
      <c r="A200" s="43" t="str">
        <f t="shared" si="82"/>
        <v/>
      </c>
      <c r="B200" s="97" t="s">
        <v>121</v>
      </c>
      <c r="C200" s="56"/>
      <c r="D200" s="57"/>
      <c r="E200" s="57"/>
      <c r="F200" s="58">
        <v>1</v>
      </c>
      <c r="G200" s="98">
        <f>5.5-3.2-0.2*2</f>
        <v>1.9</v>
      </c>
      <c r="H200" s="98"/>
      <c r="I200" s="98">
        <v>2</v>
      </c>
      <c r="J200" s="98"/>
      <c r="K200" s="39">
        <f t="shared" si="0"/>
        <v>3.8</v>
      </c>
      <c r="L200" s="40"/>
      <c r="M200" s="101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collapsed="1">
      <c r="A201" s="43">
        <f t="shared" si="82"/>
        <v>34</v>
      </c>
      <c r="B201" s="100" t="s">
        <v>122</v>
      </c>
      <c r="C201" s="56" t="s">
        <v>41</v>
      </c>
      <c r="D201" s="57">
        <v>150000</v>
      </c>
      <c r="E201" s="57"/>
      <c r="F201" s="58"/>
      <c r="G201" s="98"/>
      <c r="H201" s="98"/>
      <c r="I201" s="98"/>
      <c r="J201" s="98"/>
      <c r="K201" s="39">
        <f t="shared" si="0"/>
        <v>0</v>
      </c>
      <c r="L201" s="40">
        <f t="array" ref="L201">IF(C201&lt;&gt;0,ROUND(SUM(K201:INDEX(K201:$K$210,MATCH("*",C202:$C$210,0),1)),4),0)</f>
        <v>77.056600000000003</v>
      </c>
      <c r="M201" s="101">
        <f>D201*L201</f>
        <v>11558490</v>
      </c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hidden="1" customHeight="1" outlineLevel="1">
      <c r="A202" s="43" t="str">
        <f>IF(C202="","",SUBTOTAL(103,$C$92:C202))</f>
        <v/>
      </c>
      <c r="B202" s="97" t="s">
        <v>123</v>
      </c>
      <c r="C202" s="56"/>
      <c r="D202" s="57"/>
      <c r="E202" s="57"/>
      <c r="F202" s="58">
        <v>1</v>
      </c>
      <c r="G202" s="98">
        <f>L103</f>
        <v>5.8162000000000003</v>
      </c>
      <c r="H202" s="98"/>
      <c r="I202" s="98"/>
      <c r="J202" s="98"/>
      <c r="K202" s="39">
        <f t="shared" si="0"/>
        <v>5.8162000000000003</v>
      </c>
      <c r="L202" s="40"/>
      <c r="M202" s="101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hidden="1" customHeight="1" outlineLevel="1">
      <c r="A203" s="43"/>
      <c r="B203" s="97" t="s">
        <v>124</v>
      </c>
      <c r="C203" s="56"/>
      <c r="D203" s="57"/>
      <c r="E203" s="57"/>
      <c r="F203" s="58">
        <v>1</v>
      </c>
      <c r="G203" s="98">
        <f>L97+L115</f>
        <v>71.240399999999994</v>
      </c>
      <c r="H203" s="98"/>
      <c r="I203" s="98"/>
      <c r="J203" s="98"/>
      <c r="K203" s="39">
        <f t="shared" si="0"/>
        <v>71.240399999999994</v>
      </c>
      <c r="L203" s="40"/>
      <c r="M203" s="101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26"/>
      <c r="B204" s="27" t="s">
        <v>125</v>
      </c>
      <c r="C204" s="27"/>
      <c r="D204" s="27"/>
      <c r="E204" s="27"/>
      <c r="F204" s="28"/>
      <c r="G204" s="29"/>
      <c r="H204" s="29"/>
      <c r="I204" s="29"/>
      <c r="J204" s="29"/>
      <c r="K204" s="29"/>
      <c r="L204" s="27"/>
      <c r="M204" s="30">
        <f>SUBTOTAL(9,M205:M208)</f>
        <v>325318950</v>
      </c>
      <c r="N204" s="31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5.75" customHeight="1">
      <c r="A205" s="116">
        <f t="shared" ref="A205:A208" si="83">IF(C205="","",SUBTOTAL(103,$C$204:C205))</f>
        <v>1</v>
      </c>
      <c r="B205" s="91" t="s">
        <v>126</v>
      </c>
      <c r="C205" s="92" t="s">
        <v>41</v>
      </c>
      <c r="D205" s="93"/>
      <c r="E205" s="93">
        <f>1800000*1.25</f>
        <v>2250000</v>
      </c>
      <c r="F205" s="94"/>
      <c r="G205" s="117"/>
      <c r="H205" s="117"/>
      <c r="I205" s="117"/>
      <c r="J205" s="117"/>
      <c r="K205" s="95"/>
      <c r="L205" s="118">
        <f>5.5*10</f>
        <v>55</v>
      </c>
      <c r="M205" s="119">
        <f t="shared" ref="M205:M208" si="84">PRODUCT(D205:L205)</f>
        <v>123750000</v>
      </c>
      <c r="N205" s="120" t="s">
        <v>127</v>
      </c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</row>
    <row r="206" spans="1:26" ht="15.75" customHeight="1">
      <c r="A206" s="116">
        <f t="shared" si="83"/>
        <v>2</v>
      </c>
      <c r="B206" s="91" t="s">
        <v>128</v>
      </c>
      <c r="C206" s="92" t="s">
        <v>41</v>
      </c>
      <c r="D206" s="93"/>
      <c r="E206" s="93">
        <f>(1800000*L206+1800000*0.8*4*5.5)/L206</f>
        <v>2760000</v>
      </c>
      <c r="F206" s="94"/>
      <c r="G206" s="117"/>
      <c r="H206" s="117"/>
      <c r="I206" s="117"/>
      <c r="J206" s="117"/>
      <c r="K206" s="95"/>
      <c r="L206" s="118">
        <f>5.5*(1.735+0.1+4.165)</f>
        <v>33</v>
      </c>
      <c r="M206" s="119">
        <f t="shared" si="84"/>
        <v>91080000</v>
      </c>
      <c r="N206" s="120" t="s">
        <v>127</v>
      </c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</row>
    <row r="207" spans="1:26" ht="15.75" customHeight="1">
      <c r="A207" s="116">
        <f t="shared" si="83"/>
        <v>3</v>
      </c>
      <c r="B207" s="100" t="s">
        <v>129</v>
      </c>
      <c r="C207" s="56" t="s">
        <v>41</v>
      </c>
      <c r="D207" s="57"/>
      <c r="E207" s="57">
        <f>1800000*0.7</f>
        <v>1260000</v>
      </c>
      <c r="F207" s="58"/>
      <c r="G207" s="54"/>
      <c r="H207" s="54"/>
      <c r="I207" s="54"/>
      <c r="J207" s="54"/>
      <c r="K207" s="98"/>
      <c r="L207" s="121">
        <f>(1.765+10)*5.5</f>
        <v>64.70750000000001</v>
      </c>
      <c r="M207" s="101">
        <f t="shared" si="84"/>
        <v>81531450.000000015</v>
      </c>
      <c r="N207" s="120" t="s">
        <v>127</v>
      </c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</row>
    <row r="208" spans="1:26" ht="15.75" customHeight="1">
      <c r="A208" s="122">
        <f t="shared" si="83"/>
        <v>4</v>
      </c>
      <c r="B208" s="123" t="s">
        <v>130</v>
      </c>
      <c r="C208" s="124" t="s">
        <v>41</v>
      </c>
      <c r="D208" s="125"/>
      <c r="E208" s="125">
        <f>1800000*0.45</f>
        <v>810000</v>
      </c>
      <c r="F208" s="126"/>
      <c r="G208" s="127"/>
      <c r="H208" s="127"/>
      <c r="I208" s="127"/>
      <c r="J208" s="127"/>
      <c r="K208" s="128"/>
      <c r="L208" s="129">
        <f>4.5*5.5+2*5.5</f>
        <v>35.75</v>
      </c>
      <c r="M208" s="130">
        <f t="shared" si="84"/>
        <v>28957500</v>
      </c>
      <c r="N208" s="120" t="s">
        <v>127</v>
      </c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</row>
    <row r="209" spans="1:26" ht="15.75" customHeight="1">
      <c r="A209" s="131"/>
      <c r="B209" s="132" t="s">
        <v>131</v>
      </c>
      <c r="C209" s="133"/>
      <c r="D209" s="133"/>
      <c r="E209" s="133"/>
      <c r="F209" s="134"/>
      <c r="G209" s="135"/>
      <c r="H209" s="135"/>
      <c r="I209" s="135"/>
      <c r="J209" s="135"/>
      <c r="K209" s="135"/>
      <c r="L209" s="133"/>
      <c r="M209" s="136">
        <f>SUBTOTAL(109,M9:M208)</f>
        <v>1049109897.0475199</v>
      </c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5.75" customHeight="1">
      <c r="A210" s="1"/>
      <c r="B210" s="2"/>
      <c r="C210" s="3" t="s">
        <v>132</v>
      </c>
      <c r="D210" s="4"/>
      <c r="E210" s="4"/>
      <c r="F210" s="4"/>
      <c r="G210" s="4"/>
      <c r="H210" s="4"/>
      <c r="I210" s="4"/>
      <c r="J210" s="4"/>
      <c r="K210" s="4"/>
      <c r="L210" s="4"/>
      <c r="M210" s="137">
        <f>M209/SUM(L205:L206,L208)</f>
        <v>8477655.7337173335</v>
      </c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1"/>
      <c r="B211" s="2"/>
      <c r="C211" s="3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1"/>
      <c r="B212" s="2"/>
      <c r="C212" s="3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1"/>
      <c r="B213" s="2"/>
      <c r="C213" s="3"/>
      <c r="D213" s="4"/>
      <c r="E213" s="4"/>
      <c r="F213" s="4"/>
      <c r="G213" s="4"/>
      <c r="H213" s="4"/>
      <c r="I213" s="4"/>
      <c r="J213" s="4"/>
      <c r="K213" s="4"/>
      <c r="L213" s="4"/>
      <c r="M213" s="137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1"/>
      <c r="B214" s="2"/>
      <c r="C214" s="3"/>
      <c r="D214" s="4"/>
      <c r="E214" s="4"/>
      <c r="F214" s="4"/>
      <c r="G214" s="4"/>
      <c r="H214" s="4"/>
      <c r="I214" s="4"/>
      <c r="J214" s="4"/>
      <c r="K214" s="4"/>
      <c r="L214" s="4"/>
      <c r="M214" s="137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1"/>
      <c r="B215" s="2"/>
      <c r="C215" s="3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1"/>
      <c r="B216" s="2"/>
      <c r="C216" s="3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1"/>
      <c r="B217" s="2"/>
      <c r="C217" s="3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1"/>
      <c r="B218" s="2"/>
      <c r="C218" s="3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1"/>
      <c r="B219" s="2"/>
      <c r="C219" s="3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1"/>
      <c r="B220" s="2"/>
      <c r="C220" s="3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1"/>
      <c r="B221" s="2"/>
      <c r="C221" s="3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1"/>
      <c r="B222" s="2"/>
      <c r="C222" s="3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1"/>
      <c r="B223" s="2"/>
      <c r="C223" s="3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1"/>
      <c r="B224" s="2"/>
      <c r="C224" s="3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1"/>
      <c r="B225" s="2"/>
      <c r="C225" s="3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1"/>
      <c r="B226" s="2"/>
      <c r="C226" s="3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1"/>
      <c r="B227" s="2"/>
      <c r="C227" s="3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1"/>
      <c r="B228" s="2"/>
      <c r="C228" s="3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1"/>
      <c r="B229" s="2"/>
      <c r="C229" s="3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1"/>
      <c r="B230" s="2"/>
      <c r="C230" s="3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1"/>
      <c r="B231" s="2"/>
      <c r="C231" s="3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1"/>
      <c r="B232" s="2"/>
      <c r="C232" s="3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1"/>
      <c r="B233" s="2"/>
      <c r="C233" s="3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1"/>
      <c r="B234" s="2"/>
      <c r="C234" s="3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1"/>
      <c r="B235" s="2"/>
      <c r="C235" s="3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1"/>
      <c r="B236" s="2"/>
      <c r="C236" s="3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1"/>
      <c r="B237" s="2"/>
      <c r="C237" s="3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1"/>
      <c r="B238" s="2"/>
      <c r="C238" s="3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1"/>
      <c r="B239" s="2"/>
      <c r="C239" s="3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1"/>
      <c r="B240" s="2"/>
      <c r="C240" s="3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1"/>
      <c r="B241" s="2"/>
      <c r="C241" s="3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1"/>
      <c r="B242" s="2"/>
      <c r="C242" s="3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1"/>
      <c r="B243" s="2"/>
      <c r="C243" s="3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1"/>
      <c r="B244" s="2"/>
      <c r="C244" s="3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1"/>
      <c r="B245" s="2"/>
      <c r="C245" s="3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1"/>
      <c r="B246" s="2"/>
      <c r="C246" s="3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1"/>
      <c r="B247" s="2"/>
      <c r="C247" s="3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1"/>
      <c r="B248" s="2"/>
      <c r="C248" s="3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1"/>
      <c r="B249" s="2"/>
      <c r="C249" s="3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1"/>
      <c r="B250" s="2"/>
      <c r="C250" s="3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1"/>
      <c r="B251" s="2"/>
      <c r="C251" s="3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1"/>
      <c r="B252" s="2"/>
      <c r="C252" s="3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1"/>
      <c r="B253" s="2"/>
      <c r="C253" s="3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1"/>
      <c r="B254" s="2"/>
      <c r="C254" s="3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1"/>
      <c r="B255" s="2"/>
      <c r="C255" s="3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1"/>
      <c r="B256" s="2"/>
      <c r="C256" s="3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1"/>
      <c r="B257" s="2"/>
      <c r="C257" s="3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1"/>
      <c r="B258" s="2"/>
      <c r="C258" s="3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1"/>
      <c r="B259" s="2"/>
      <c r="C259" s="3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1"/>
      <c r="B260" s="2"/>
      <c r="C260" s="3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1"/>
      <c r="B261" s="2"/>
      <c r="C261" s="3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1"/>
      <c r="B262" s="2"/>
      <c r="C262" s="3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1"/>
      <c r="B263" s="2"/>
      <c r="C263" s="3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1"/>
      <c r="B264" s="2"/>
      <c r="C264" s="3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1"/>
      <c r="B265" s="2"/>
      <c r="C265" s="3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1"/>
      <c r="B266" s="2"/>
      <c r="C266" s="3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1"/>
      <c r="B267" s="2"/>
      <c r="C267" s="3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1"/>
      <c r="B268" s="2"/>
      <c r="C268" s="3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1"/>
      <c r="B269" s="2"/>
      <c r="C269" s="3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1"/>
      <c r="B270" s="2"/>
      <c r="C270" s="3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1"/>
      <c r="B271" s="2"/>
      <c r="C271" s="3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1"/>
      <c r="B272" s="2"/>
      <c r="C272" s="3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1"/>
      <c r="B273" s="2"/>
      <c r="C273" s="3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1"/>
      <c r="B274" s="2"/>
      <c r="C274" s="3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1"/>
      <c r="B275" s="2"/>
      <c r="C275" s="3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1"/>
      <c r="B276" s="2"/>
      <c r="C276" s="3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1"/>
      <c r="B277" s="2"/>
      <c r="C277" s="3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1"/>
      <c r="B278" s="2"/>
      <c r="C278" s="3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1"/>
      <c r="B279" s="2"/>
      <c r="C279" s="3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1"/>
      <c r="B280" s="2"/>
      <c r="C280" s="3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1"/>
      <c r="B281" s="2"/>
      <c r="C281" s="3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1"/>
      <c r="B282" s="2"/>
      <c r="C282" s="3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1"/>
      <c r="B283" s="2"/>
      <c r="C283" s="3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1"/>
      <c r="B284" s="2"/>
      <c r="C284" s="3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1"/>
      <c r="B285" s="2"/>
      <c r="C285" s="3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1"/>
      <c r="B286" s="2"/>
      <c r="C286" s="3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1"/>
      <c r="B287" s="2"/>
      <c r="C287" s="3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1"/>
      <c r="B288" s="2"/>
      <c r="C288" s="3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1"/>
      <c r="B289" s="2"/>
      <c r="C289" s="3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1"/>
      <c r="B290" s="2"/>
      <c r="C290" s="3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1"/>
      <c r="B291" s="2"/>
      <c r="C291" s="3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1"/>
      <c r="B292" s="2"/>
      <c r="C292" s="3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1"/>
      <c r="B293" s="2"/>
      <c r="C293" s="3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1"/>
      <c r="B294" s="2"/>
      <c r="C294" s="3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1"/>
      <c r="B295" s="2"/>
      <c r="C295" s="3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1"/>
      <c r="B296" s="2"/>
      <c r="C296" s="3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1"/>
      <c r="B297" s="2"/>
      <c r="C297" s="3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1"/>
      <c r="B298" s="2"/>
      <c r="C298" s="3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1"/>
      <c r="B299" s="2"/>
      <c r="C299" s="3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1"/>
      <c r="B300" s="2"/>
      <c r="C300" s="3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1"/>
      <c r="B301" s="2"/>
      <c r="C301" s="3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1"/>
      <c r="B302" s="2"/>
      <c r="C302" s="3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1"/>
      <c r="B303" s="2"/>
      <c r="C303" s="3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1"/>
      <c r="B304" s="2"/>
      <c r="C304" s="3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1"/>
      <c r="B305" s="2"/>
      <c r="C305" s="3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1"/>
      <c r="B306" s="2"/>
      <c r="C306" s="3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1"/>
      <c r="B307" s="2"/>
      <c r="C307" s="3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1"/>
      <c r="B308" s="2"/>
      <c r="C308" s="3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1"/>
      <c r="B309" s="2"/>
      <c r="C309" s="3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1"/>
      <c r="B310" s="2"/>
      <c r="C310" s="3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1"/>
      <c r="B311" s="2"/>
      <c r="C311" s="3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1"/>
      <c r="B312" s="2"/>
      <c r="C312" s="3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1"/>
      <c r="B313" s="2"/>
      <c r="C313" s="3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1"/>
      <c r="B314" s="2"/>
      <c r="C314" s="3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1"/>
      <c r="B315" s="2"/>
      <c r="C315" s="3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1"/>
      <c r="B316" s="2"/>
      <c r="C316" s="3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1"/>
      <c r="B317" s="2"/>
      <c r="C317" s="3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1"/>
      <c r="B318" s="2"/>
      <c r="C318" s="3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1"/>
      <c r="B319" s="2"/>
      <c r="C319" s="3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1"/>
      <c r="B320" s="2"/>
      <c r="C320" s="3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1"/>
      <c r="B321" s="2"/>
      <c r="C321" s="3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1"/>
      <c r="B322" s="2"/>
      <c r="C322" s="3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1"/>
      <c r="B323" s="2"/>
      <c r="C323" s="3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1"/>
      <c r="B324" s="2"/>
      <c r="C324" s="3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1"/>
      <c r="B325" s="2"/>
      <c r="C325" s="3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1"/>
      <c r="B326" s="2"/>
      <c r="C326" s="3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1"/>
      <c r="B327" s="2"/>
      <c r="C327" s="3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1"/>
      <c r="B328" s="2"/>
      <c r="C328" s="3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1"/>
      <c r="B329" s="2"/>
      <c r="C329" s="3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1"/>
      <c r="B330" s="2"/>
      <c r="C330" s="3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1"/>
      <c r="B331" s="2"/>
      <c r="C331" s="3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1"/>
      <c r="B332" s="2"/>
      <c r="C332" s="3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1"/>
      <c r="B333" s="2"/>
      <c r="C333" s="3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1"/>
      <c r="B334" s="2"/>
      <c r="C334" s="3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1"/>
      <c r="B335" s="2"/>
      <c r="C335" s="3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1"/>
      <c r="B336" s="2"/>
      <c r="C336" s="3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1"/>
      <c r="B337" s="2"/>
      <c r="C337" s="3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1"/>
      <c r="B338" s="2"/>
      <c r="C338" s="3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1"/>
      <c r="B339" s="2"/>
      <c r="C339" s="3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1"/>
      <c r="B340" s="2"/>
      <c r="C340" s="3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1"/>
      <c r="B341" s="2"/>
      <c r="C341" s="3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1"/>
      <c r="B342" s="2"/>
      <c r="C342" s="3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1"/>
      <c r="B343" s="2"/>
      <c r="C343" s="3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1"/>
      <c r="B344" s="2"/>
      <c r="C344" s="3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1"/>
      <c r="B345" s="2"/>
      <c r="C345" s="3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1"/>
      <c r="B346" s="2"/>
      <c r="C346" s="3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1"/>
      <c r="B347" s="2"/>
      <c r="C347" s="3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1"/>
      <c r="B348" s="2"/>
      <c r="C348" s="3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1"/>
      <c r="B349" s="2"/>
      <c r="C349" s="3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1"/>
      <c r="B350" s="2"/>
      <c r="C350" s="3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1"/>
      <c r="B351" s="2"/>
      <c r="C351" s="3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1"/>
      <c r="B352" s="2"/>
      <c r="C352" s="3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1"/>
      <c r="B353" s="2"/>
      <c r="C353" s="3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1"/>
      <c r="B354" s="2"/>
      <c r="C354" s="3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1"/>
      <c r="B355" s="2"/>
      <c r="C355" s="3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1"/>
      <c r="B356" s="2"/>
      <c r="C356" s="3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1"/>
      <c r="B357" s="2"/>
      <c r="C357" s="3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1"/>
      <c r="B358" s="2"/>
      <c r="C358" s="3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1"/>
      <c r="B359" s="2"/>
      <c r="C359" s="3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1"/>
      <c r="B360" s="2"/>
      <c r="C360" s="3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1"/>
      <c r="B361" s="2"/>
      <c r="C361" s="3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1"/>
      <c r="B362" s="2"/>
      <c r="C362" s="3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1"/>
      <c r="B363" s="2"/>
      <c r="C363" s="3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1"/>
      <c r="B364" s="2"/>
      <c r="C364" s="3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1"/>
      <c r="B365" s="2"/>
      <c r="C365" s="3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1"/>
      <c r="B366" s="2"/>
      <c r="C366" s="3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1"/>
      <c r="B367" s="2"/>
      <c r="C367" s="3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1"/>
      <c r="B368" s="2"/>
      <c r="C368" s="3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1"/>
      <c r="B369" s="2"/>
      <c r="C369" s="3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1"/>
      <c r="B370" s="2"/>
      <c r="C370" s="3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1"/>
      <c r="B371" s="2"/>
      <c r="C371" s="3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1"/>
      <c r="B372" s="2"/>
      <c r="C372" s="3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1"/>
      <c r="B373" s="2"/>
      <c r="C373" s="3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1"/>
      <c r="B374" s="2"/>
      <c r="C374" s="3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1"/>
      <c r="B375" s="2"/>
      <c r="C375" s="3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1"/>
      <c r="B376" s="2"/>
      <c r="C376" s="3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1"/>
      <c r="B377" s="2"/>
      <c r="C377" s="3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1"/>
      <c r="B378" s="2"/>
      <c r="C378" s="3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1"/>
      <c r="B379" s="2"/>
      <c r="C379" s="3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1"/>
      <c r="B380" s="2"/>
      <c r="C380" s="3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1"/>
      <c r="B381" s="2"/>
      <c r="C381" s="3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1"/>
      <c r="B382" s="2"/>
      <c r="C382" s="3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1"/>
      <c r="B383" s="2"/>
      <c r="C383" s="3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1"/>
      <c r="B384" s="2"/>
      <c r="C384" s="3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1"/>
      <c r="B385" s="2"/>
      <c r="C385" s="3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1"/>
      <c r="B386" s="2"/>
      <c r="C386" s="3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1"/>
      <c r="B387" s="2"/>
      <c r="C387" s="3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1"/>
      <c r="B388" s="2"/>
      <c r="C388" s="3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1"/>
      <c r="B389" s="2"/>
      <c r="C389" s="3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1"/>
      <c r="B390" s="2"/>
      <c r="C390" s="3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1"/>
      <c r="B391" s="2"/>
      <c r="C391" s="3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1"/>
      <c r="B392" s="2"/>
      <c r="C392" s="3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1"/>
      <c r="B393" s="2"/>
      <c r="C393" s="3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1"/>
      <c r="B394" s="2"/>
      <c r="C394" s="3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1"/>
      <c r="B395" s="2"/>
      <c r="C395" s="3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1"/>
      <c r="B396" s="2"/>
      <c r="C396" s="3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1"/>
      <c r="B397" s="2"/>
      <c r="C397" s="3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1"/>
      <c r="B398" s="2"/>
      <c r="C398" s="3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1"/>
      <c r="B399" s="2"/>
      <c r="C399" s="3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1"/>
      <c r="B400" s="2"/>
      <c r="C400" s="3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1"/>
      <c r="B401" s="2"/>
      <c r="C401" s="3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1"/>
      <c r="B402" s="2"/>
      <c r="C402" s="3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1"/>
      <c r="B403" s="2"/>
      <c r="C403" s="3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1"/>
      <c r="B404" s="2"/>
      <c r="C404" s="3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1"/>
      <c r="B405" s="2"/>
      <c r="C405" s="3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1"/>
      <c r="B406" s="2"/>
      <c r="C406" s="3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1"/>
      <c r="B407" s="2"/>
      <c r="C407" s="3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1"/>
      <c r="B408" s="2"/>
      <c r="C408" s="3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1"/>
      <c r="B409" s="2"/>
      <c r="C409" s="3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1"/>
      <c r="B410" s="2"/>
      <c r="C410" s="3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1"/>
      <c r="B411" s="2"/>
      <c r="C411" s="3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1"/>
      <c r="B412" s="2"/>
      <c r="C412" s="3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1"/>
      <c r="B413" s="2"/>
      <c r="C413" s="3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1"/>
      <c r="B414" s="2"/>
      <c r="C414" s="3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1"/>
      <c r="B415" s="2"/>
      <c r="C415" s="3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1"/>
      <c r="B416" s="2"/>
      <c r="C416" s="3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1"/>
      <c r="B417" s="2"/>
      <c r="C417" s="3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1"/>
      <c r="B418" s="2"/>
      <c r="C418" s="3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1"/>
      <c r="B419" s="2"/>
      <c r="C419" s="3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1"/>
      <c r="B420" s="2"/>
      <c r="C420" s="3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1"/>
      <c r="B421" s="2"/>
      <c r="C421" s="3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1"/>
      <c r="B422" s="2"/>
      <c r="C422" s="3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1"/>
      <c r="B423" s="2"/>
      <c r="C423" s="3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1"/>
      <c r="B424" s="2"/>
      <c r="C424" s="3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1"/>
      <c r="B425" s="2"/>
      <c r="C425" s="3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1"/>
      <c r="B426" s="2"/>
      <c r="C426" s="3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1"/>
      <c r="B427" s="2"/>
      <c r="C427" s="3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1"/>
      <c r="B428" s="2"/>
      <c r="C428" s="3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1"/>
      <c r="B429" s="2"/>
      <c r="C429" s="3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1"/>
      <c r="B430" s="2"/>
      <c r="C430" s="3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1"/>
      <c r="B431" s="2"/>
      <c r="C431" s="3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1"/>
      <c r="B432" s="2"/>
      <c r="C432" s="3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1"/>
      <c r="B433" s="2"/>
      <c r="C433" s="3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1"/>
      <c r="B434" s="2"/>
      <c r="C434" s="3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1"/>
      <c r="B435" s="2"/>
      <c r="C435" s="3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1"/>
      <c r="B436" s="2"/>
      <c r="C436" s="3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1"/>
      <c r="B437" s="2"/>
      <c r="C437" s="3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1"/>
      <c r="B438" s="2"/>
      <c r="C438" s="3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1"/>
      <c r="B439" s="2"/>
      <c r="C439" s="3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1"/>
      <c r="B440" s="2"/>
      <c r="C440" s="3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1"/>
      <c r="B441" s="2"/>
      <c r="C441" s="3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1"/>
      <c r="B442" s="2"/>
      <c r="C442" s="3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1"/>
      <c r="B443" s="2"/>
      <c r="C443" s="3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1"/>
      <c r="B444" s="2"/>
      <c r="C444" s="3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1"/>
      <c r="B445" s="2"/>
      <c r="C445" s="3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1"/>
      <c r="B446" s="2"/>
      <c r="C446" s="3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1"/>
      <c r="B447" s="2"/>
      <c r="C447" s="3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1"/>
      <c r="B448" s="2"/>
      <c r="C448" s="3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1"/>
      <c r="B449" s="2"/>
      <c r="C449" s="3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1"/>
      <c r="B450" s="2"/>
      <c r="C450" s="3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1"/>
      <c r="B451" s="2"/>
      <c r="C451" s="3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1"/>
      <c r="B452" s="2"/>
      <c r="C452" s="3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1"/>
      <c r="B453" s="2"/>
      <c r="C453" s="3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1"/>
      <c r="B454" s="2"/>
      <c r="C454" s="3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1"/>
      <c r="B455" s="2"/>
      <c r="C455" s="3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1"/>
      <c r="B456" s="2"/>
      <c r="C456" s="3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1"/>
      <c r="B457" s="2"/>
      <c r="C457" s="3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1"/>
      <c r="B458" s="2"/>
      <c r="C458" s="3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1"/>
      <c r="B459" s="2"/>
      <c r="C459" s="3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1"/>
      <c r="B460" s="2"/>
      <c r="C460" s="3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1"/>
      <c r="B461" s="2"/>
      <c r="C461" s="3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1"/>
      <c r="B462" s="2"/>
      <c r="C462" s="3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1"/>
      <c r="B463" s="2"/>
      <c r="C463" s="3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1"/>
      <c r="B464" s="2"/>
      <c r="C464" s="3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1"/>
      <c r="B465" s="2"/>
      <c r="C465" s="3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1"/>
      <c r="B466" s="2"/>
      <c r="C466" s="3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1"/>
      <c r="B467" s="2"/>
      <c r="C467" s="3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1"/>
      <c r="B468" s="2"/>
      <c r="C468" s="3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1"/>
      <c r="B469" s="2"/>
      <c r="C469" s="3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1"/>
      <c r="B470" s="2"/>
      <c r="C470" s="3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1"/>
      <c r="B471" s="2"/>
      <c r="C471" s="3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1"/>
      <c r="B472" s="2"/>
      <c r="C472" s="3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1"/>
      <c r="B473" s="2"/>
      <c r="C473" s="3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1"/>
      <c r="B474" s="2"/>
      <c r="C474" s="3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1"/>
      <c r="B475" s="2"/>
      <c r="C475" s="3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1"/>
      <c r="B476" s="2"/>
      <c r="C476" s="3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1"/>
      <c r="B477" s="2"/>
      <c r="C477" s="3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1"/>
      <c r="B478" s="2"/>
      <c r="C478" s="3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1"/>
      <c r="B479" s="2"/>
      <c r="C479" s="3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1"/>
      <c r="B480" s="2"/>
      <c r="C480" s="3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1"/>
      <c r="B481" s="2"/>
      <c r="C481" s="3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1"/>
      <c r="B482" s="2"/>
      <c r="C482" s="3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1"/>
      <c r="B483" s="2"/>
      <c r="C483" s="3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1"/>
      <c r="B484" s="2"/>
      <c r="C484" s="3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1"/>
      <c r="B485" s="2"/>
      <c r="C485" s="3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1"/>
      <c r="B486" s="2"/>
      <c r="C486" s="3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1"/>
      <c r="B487" s="2"/>
      <c r="C487" s="3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1"/>
      <c r="B488" s="2"/>
      <c r="C488" s="3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1"/>
      <c r="B489" s="2"/>
      <c r="C489" s="3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1"/>
      <c r="B490" s="2"/>
      <c r="C490" s="3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1"/>
      <c r="B491" s="2"/>
      <c r="C491" s="3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1"/>
      <c r="B492" s="2"/>
      <c r="C492" s="3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1"/>
      <c r="B493" s="2"/>
      <c r="C493" s="3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1"/>
      <c r="B494" s="2"/>
      <c r="C494" s="3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1"/>
      <c r="B495" s="2"/>
      <c r="C495" s="3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1"/>
      <c r="B496" s="2"/>
      <c r="C496" s="3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1"/>
      <c r="B497" s="2"/>
      <c r="C497" s="3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1"/>
      <c r="B498" s="2"/>
      <c r="C498" s="3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1"/>
      <c r="B499" s="2"/>
      <c r="C499" s="3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1"/>
      <c r="B500" s="2"/>
      <c r="C500" s="3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1"/>
      <c r="B501" s="2"/>
      <c r="C501" s="3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1"/>
      <c r="B502" s="2"/>
      <c r="C502" s="3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1"/>
      <c r="B503" s="2"/>
      <c r="C503" s="3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1"/>
      <c r="B504" s="2"/>
      <c r="C504" s="3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1"/>
      <c r="B505" s="2"/>
      <c r="C505" s="3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1"/>
      <c r="B506" s="2"/>
      <c r="C506" s="3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1"/>
      <c r="B507" s="2"/>
      <c r="C507" s="3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1"/>
      <c r="B508" s="2"/>
      <c r="C508" s="3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1"/>
      <c r="B509" s="2"/>
      <c r="C509" s="3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1"/>
      <c r="B510" s="2"/>
      <c r="C510" s="3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1"/>
      <c r="B511" s="2"/>
      <c r="C511" s="3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1"/>
      <c r="B512" s="2"/>
      <c r="C512" s="3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1"/>
      <c r="B513" s="2"/>
      <c r="C513" s="3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1"/>
      <c r="B514" s="2"/>
      <c r="C514" s="3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1"/>
      <c r="B515" s="2"/>
      <c r="C515" s="3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1"/>
      <c r="B516" s="2"/>
      <c r="C516" s="3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1"/>
      <c r="B517" s="2"/>
      <c r="C517" s="3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1"/>
      <c r="B518" s="2"/>
      <c r="C518" s="3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1"/>
      <c r="B519" s="2"/>
      <c r="C519" s="3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1"/>
      <c r="B520" s="2"/>
      <c r="C520" s="3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1"/>
      <c r="B521" s="2"/>
      <c r="C521" s="3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1"/>
      <c r="B522" s="2"/>
      <c r="C522" s="3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1"/>
      <c r="B523" s="2"/>
      <c r="C523" s="3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1"/>
      <c r="B524" s="2"/>
      <c r="C524" s="3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1"/>
      <c r="B525" s="2"/>
      <c r="C525" s="3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1"/>
      <c r="B526" s="2"/>
      <c r="C526" s="3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1"/>
      <c r="B527" s="2"/>
      <c r="C527" s="3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1"/>
      <c r="B528" s="2"/>
      <c r="C528" s="3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1"/>
      <c r="B529" s="2"/>
      <c r="C529" s="3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1"/>
      <c r="B530" s="2"/>
      <c r="C530" s="3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1"/>
      <c r="B531" s="2"/>
      <c r="C531" s="3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1"/>
      <c r="B532" s="2"/>
      <c r="C532" s="3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1"/>
      <c r="B533" s="2"/>
      <c r="C533" s="3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1"/>
      <c r="B534" s="2"/>
      <c r="C534" s="3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1"/>
      <c r="B535" s="2"/>
      <c r="C535" s="3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1"/>
      <c r="B536" s="2"/>
      <c r="C536" s="3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1"/>
      <c r="B537" s="2"/>
      <c r="C537" s="3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1"/>
      <c r="B538" s="2"/>
      <c r="C538" s="3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1"/>
      <c r="B539" s="2"/>
      <c r="C539" s="3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1"/>
      <c r="B540" s="2"/>
      <c r="C540" s="3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1"/>
      <c r="B541" s="2"/>
      <c r="C541" s="3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1"/>
      <c r="B542" s="2"/>
      <c r="C542" s="3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1"/>
      <c r="B543" s="2"/>
      <c r="C543" s="3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1"/>
      <c r="B544" s="2"/>
      <c r="C544" s="3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1"/>
      <c r="B545" s="2"/>
      <c r="C545" s="3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1"/>
      <c r="B546" s="2"/>
      <c r="C546" s="3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1"/>
      <c r="B547" s="2"/>
      <c r="C547" s="3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1"/>
      <c r="B548" s="2"/>
      <c r="C548" s="3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1"/>
      <c r="B549" s="2"/>
      <c r="C549" s="3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1"/>
      <c r="B550" s="2"/>
      <c r="C550" s="3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1"/>
      <c r="B551" s="2"/>
      <c r="C551" s="3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1"/>
      <c r="B552" s="2"/>
      <c r="C552" s="3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1"/>
      <c r="B553" s="2"/>
      <c r="C553" s="3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1"/>
      <c r="B554" s="2"/>
      <c r="C554" s="3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1"/>
      <c r="B555" s="2"/>
      <c r="C555" s="3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1"/>
      <c r="B556" s="2"/>
      <c r="C556" s="3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1"/>
      <c r="B557" s="2"/>
      <c r="C557" s="3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1"/>
      <c r="B558" s="2"/>
      <c r="C558" s="3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1"/>
      <c r="B559" s="2"/>
      <c r="C559" s="3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1"/>
      <c r="B560" s="2"/>
      <c r="C560" s="3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1"/>
      <c r="B561" s="2"/>
      <c r="C561" s="3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1"/>
      <c r="B562" s="2"/>
      <c r="C562" s="3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1"/>
      <c r="B563" s="2"/>
      <c r="C563" s="3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1"/>
      <c r="B564" s="2"/>
      <c r="C564" s="3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1"/>
      <c r="B565" s="2"/>
      <c r="C565" s="3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1"/>
      <c r="B566" s="2"/>
      <c r="C566" s="3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1"/>
      <c r="B567" s="2"/>
      <c r="C567" s="3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1"/>
      <c r="B568" s="2"/>
      <c r="C568" s="3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1"/>
      <c r="B569" s="2"/>
      <c r="C569" s="3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1"/>
      <c r="B570" s="2"/>
      <c r="C570" s="3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1"/>
      <c r="B571" s="2"/>
      <c r="C571" s="3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1"/>
      <c r="B572" s="2"/>
      <c r="C572" s="3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1"/>
      <c r="B573" s="2"/>
      <c r="C573" s="3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1"/>
      <c r="B574" s="2"/>
      <c r="C574" s="3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1"/>
      <c r="B575" s="2"/>
      <c r="C575" s="3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1"/>
      <c r="B576" s="2"/>
      <c r="C576" s="3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1"/>
      <c r="B577" s="2"/>
      <c r="C577" s="3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1"/>
      <c r="B578" s="2"/>
      <c r="C578" s="3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1"/>
      <c r="B579" s="2"/>
      <c r="C579" s="3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1"/>
      <c r="B580" s="2"/>
      <c r="C580" s="3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1"/>
      <c r="B581" s="2"/>
      <c r="C581" s="3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1"/>
      <c r="B582" s="2"/>
      <c r="C582" s="3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1"/>
      <c r="B583" s="2"/>
      <c r="C583" s="3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1"/>
      <c r="B584" s="2"/>
      <c r="C584" s="3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1"/>
      <c r="B585" s="2"/>
      <c r="C585" s="3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1"/>
      <c r="B586" s="2"/>
      <c r="C586" s="3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1"/>
      <c r="B587" s="2"/>
      <c r="C587" s="3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1"/>
      <c r="B588" s="2"/>
      <c r="C588" s="3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1"/>
      <c r="B589" s="2"/>
      <c r="C589" s="3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1"/>
      <c r="B590" s="2"/>
      <c r="C590" s="3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1"/>
      <c r="B591" s="2"/>
      <c r="C591" s="3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1"/>
      <c r="B592" s="2"/>
      <c r="C592" s="3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1"/>
      <c r="B593" s="2"/>
      <c r="C593" s="3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1"/>
      <c r="B594" s="2"/>
      <c r="C594" s="3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1"/>
      <c r="B595" s="2"/>
      <c r="C595" s="3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1"/>
      <c r="B596" s="2"/>
      <c r="C596" s="3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1"/>
      <c r="B597" s="2"/>
      <c r="C597" s="3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1"/>
      <c r="B598" s="2"/>
      <c r="C598" s="3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1"/>
      <c r="B599" s="2"/>
      <c r="C599" s="3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1"/>
      <c r="B600" s="2"/>
      <c r="C600" s="3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1"/>
      <c r="B601" s="2"/>
      <c r="C601" s="3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1"/>
      <c r="B602" s="2"/>
      <c r="C602" s="3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1"/>
      <c r="B603" s="2"/>
      <c r="C603" s="3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1"/>
      <c r="B604" s="2"/>
      <c r="C604" s="3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1"/>
      <c r="B605" s="2"/>
      <c r="C605" s="3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1"/>
      <c r="B606" s="2"/>
      <c r="C606" s="3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1"/>
      <c r="B607" s="2"/>
      <c r="C607" s="3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1"/>
      <c r="B608" s="2"/>
      <c r="C608" s="3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1"/>
      <c r="B609" s="2"/>
      <c r="C609" s="3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1"/>
      <c r="B610" s="2"/>
      <c r="C610" s="3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1"/>
      <c r="B611" s="2"/>
      <c r="C611" s="3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1"/>
      <c r="B612" s="2"/>
      <c r="C612" s="3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1"/>
      <c r="B613" s="2"/>
      <c r="C613" s="3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1"/>
      <c r="B614" s="2"/>
      <c r="C614" s="3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1"/>
      <c r="B615" s="2"/>
      <c r="C615" s="3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1"/>
      <c r="B616" s="2"/>
      <c r="C616" s="3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1"/>
      <c r="B617" s="2"/>
      <c r="C617" s="3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1"/>
      <c r="B618" s="2"/>
      <c r="C618" s="3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1"/>
      <c r="B619" s="2"/>
      <c r="C619" s="3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1"/>
      <c r="B620" s="2"/>
      <c r="C620" s="3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1"/>
      <c r="B621" s="2"/>
      <c r="C621" s="3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1"/>
      <c r="B622" s="2"/>
      <c r="C622" s="3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1"/>
      <c r="B623" s="2"/>
      <c r="C623" s="3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1"/>
      <c r="B624" s="2"/>
      <c r="C624" s="3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1"/>
      <c r="B625" s="2"/>
      <c r="C625" s="3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1"/>
      <c r="B626" s="2"/>
      <c r="C626" s="3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1"/>
      <c r="B627" s="2"/>
      <c r="C627" s="3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1"/>
      <c r="B628" s="2"/>
      <c r="C628" s="3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1"/>
      <c r="B629" s="2"/>
      <c r="C629" s="3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1"/>
      <c r="B630" s="2"/>
      <c r="C630" s="3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1"/>
      <c r="B631" s="2"/>
      <c r="C631" s="3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1"/>
      <c r="B632" s="2"/>
      <c r="C632" s="3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1"/>
      <c r="B633" s="2"/>
      <c r="C633" s="3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1"/>
      <c r="B634" s="2"/>
      <c r="C634" s="3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1"/>
      <c r="B635" s="2"/>
      <c r="C635" s="3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1"/>
      <c r="B636" s="2"/>
      <c r="C636" s="3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1"/>
      <c r="B637" s="2"/>
      <c r="C637" s="3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1"/>
      <c r="B638" s="2"/>
      <c r="C638" s="3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1"/>
      <c r="B639" s="2"/>
      <c r="C639" s="3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1"/>
      <c r="B640" s="2"/>
      <c r="C640" s="3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1"/>
      <c r="B641" s="2"/>
      <c r="C641" s="3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1"/>
      <c r="B642" s="2"/>
      <c r="C642" s="3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1"/>
      <c r="B643" s="2"/>
      <c r="C643" s="3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1"/>
      <c r="B644" s="2"/>
      <c r="C644" s="3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1"/>
      <c r="B645" s="2"/>
      <c r="C645" s="3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1"/>
      <c r="B646" s="2"/>
      <c r="C646" s="3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1"/>
      <c r="B647" s="2"/>
      <c r="C647" s="3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1"/>
      <c r="B648" s="2"/>
      <c r="C648" s="3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1"/>
      <c r="B649" s="2"/>
      <c r="C649" s="3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1"/>
      <c r="B650" s="2"/>
      <c r="C650" s="3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1"/>
      <c r="B651" s="2"/>
      <c r="C651" s="3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1"/>
      <c r="B652" s="2"/>
      <c r="C652" s="3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1"/>
      <c r="B653" s="2"/>
      <c r="C653" s="3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1"/>
      <c r="B654" s="2"/>
      <c r="C654" s="3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1"/>
      <c r="B655" s="2"/>
      <c r="C655" s="3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1"/>
      <c r="B656" s="2"/>
      <c r="C656" s="3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1"/>
      <c r="B657" s="2"/>
      <c r="C657" s="3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1"/>
      <c r="B658" s="2"/>
      <c r="C658" s="3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1"/>
      <c r="B659" s="2"/>
      <c r="C659" s="3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1"/>
      <c r="B660" s="2"/>
      <c r="C660" s="3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1"/>
      <c r="B661" s="2"/>
      <c r="C661" s="3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1"/>
      <c r="B662" s="2"/>
      <c r="C662" s="3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1"/>
      <c r="B663" s="2"/>
      <c r="C663" s="3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1"/>
      <c r="B664" s="2"/>
      <c r="C664" s="3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1"/>
      <c r="B665" s="2"/>
      <c r="C665" s="3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1"/>
      <c r="B666" s="2"/>
      <c r="C666" s="3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1"/>
      <c r="B667" s="2"/>
      <c r="C667" s="3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1"/>
      <c r="B668" s="2"/>
      <c r="C668" s="3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1"/>
      <c r="B669" s="2"/>
      <c r="C669" s="3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1"/>
      <c r="B670" s="2"/>
      <c r="C670" s="3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1"/>
      <c r="B671" s="2"/>
      <c r="C671" s="3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1"/>
      <c r="B672" s="2"/>
      <c r="C672" s="3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1"/>
      <c r="B673" s="2"/>
      <c r="C673" s="3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1"/>
      <c r="B674" s="2"/>
      <c r="C674" s="3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1"/>
      <c r="B675" s="2"/>
      <c r="C675" s="3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1"/>
      <c r="B676" s="2"/>
      <c r="C676" s="3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1"/>
      <c r="B677" s="2"/>
      <c r="C677" s="3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1"/>
      <c r="B678" s="2"/>
      <c r="C678" s="3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1"/>
      <c r="B679" s="2"/>
      <c r="C679" s="3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1"/>
      <c r="B680" s="2"/>
      <c r="C680" s="3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1"/>
      <c r="B681" s="2"/>
      <c r="C681" s="3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1"/>
      <c r="B682" s="2"/>
      <c r="C682" s="3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1"/>
      <c r="B683" s="2"/>
      <c r="C683" s="3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1"/>
      <c r="B684" s="2"/>
      <c r="C684" s="3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1"/>
      <c r="B685" s="2"/>
      <c r="C685" s="3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1"/>
      <c r="B686" s="2"/>
      <c r="C686" s="3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1"/>
      <c r="B687" s="2"/>
      <c r="C687" s="3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1"/>
      <c r="B688" s="2"/>
      <c r="C688" s="3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1"/>
      <c r="B689" s="2"/>
      <c r="C689" s="3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1"/>
      <c r="B690" s="2"/>
      <c r="C690" s="3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1"/>
      <c r="B691" s="2"/>
      <c r="C691" s="3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1"/>
      <c r="B692" s="2"/>
      <c r="C692" s="3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1"/>
      <c r="B693" s="2"/>
      <c r="C693" s="3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1"/>
      <c r="B694" s="2"/>
      <c r="C694" s="3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1"/>
      <c r="B695" s="2"/>
      <c r="C695" s="3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1"/>
      <c r="B696" s="2"/>
      <c r="C696" s="3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1"/>
      <c r="B697" s="2"/>
      <c r="C697" s="3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1"/>
      <c r="B698" s="2"/>
      <c r="C698" s="3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1"/>
      <c r="B699" s="2"/>
      <c r="C699" s="3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1"/>
      <c r="B700" s="2"/>
      <c r="C700" s="3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1"/>
      <c r="B701" s="2"/>
      <c r="C701" s="3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1"/>
      <c r="B702" s="2"/>
      <c r="C702" s="3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1"/>
      <c r="B703" s="2"/>
      <c r="C703" s="3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1"/>
      <c r="B704" s="2"/>
      <c r="C704" s="3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1"/>
      <c r="B705" s="2"/>
      <c r="C705" s="3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1"/>
      <c r="B706" s="2"/>
      <c r="C706" s="3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1"/>
      <c r="B707" s="2"/>
      <c r="C707" s="3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1"/>
      <c r="B708" s="2"/>
      <c r="C708" s="3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1"/>
      <c r="B709" s="2"/>
      <c r="C709" s="3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1"/>
      <c r="B710" s="2"/>
      <c r="C710" s="3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1"/>
      <c r="B711" s="2"/>
      <c r="C711" s="3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1"/>
      <c r="B712" s="2"/>
      <c r="C712" s="3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1"/>
      <c r="B713" s="2"/>
      <c r="C713" s="3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1"/>
      <c r="B714" s="2"/>
      <c r="C714" s="3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1"/>
      <c r="B715" s="2"/>
      <c r="C715" s="3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1"/>
      <c r="B716" s="2"/>
      <c r="C716" s="3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1"/>
      <c r="B717" s="2"/>
      <c r="C717" s="3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1"/>
      <c r="B718" s="2"/>
      <c r="C718" s="3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1"/>
      <c r="B719" s="2"/>
      <c r="C719" s="3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1"/>
      <c r="B720" s="2"/>
      <c r="C720" s="3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1"/>
      <c r="B721" s="2"/>
      <c r="C721" s="3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1"/>
      <c r="B722" s="2"/>
      <c r="C722" s="3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1"/>
      <c r="B723" s="2"/>
      <c r="C723" s="3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1"/>
      <c r="B724" s="2"/>
      <c r="C724" s="3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1"/>
      <c r="B725" s="2"/>
      <c r="C725" s="3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1"/>
      <c r="B726" s="2"/>
      <c r="C726" s="3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1"/>
      <c r="B727" s="2"/>
      <c r="C727" s="3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1"/>
      <c r="B728" s="2"/>
      <c r="C728" s="3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1"/>
      <c r="B729" s="2"/>
      <c r="C729" s="3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1"/>
      <c r="B730" s="2"/>
      <c r="C730" s="3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1"/>
      <c r="B731" s="2"/>
      <c r="C731" s="3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1"/>
      <c r="B732" s="2"/>
      <c r="C732" s="3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1"/>
      <c r="B733" s="2"/>
      <c r="C733" s="3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1"/>
      <c r="B734" s="2"/>
      <c r="C734" s="3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1"/>
      <c r="B735" s="2"/>
      <c r="C735" s="3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1"/>
      <c r="B736" s="2"/>
      <c r="C736" s="3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1"/>
      <c r="B737" s="2"/>
      <c r="C737" s="3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1"/>
      <c r="B738" s="2"/>
      <c r="C738" s="3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1"/>
      <c r="B739" s="2"/>
      <c r="C739" s="3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1"/>
      <c r="B740" s="2"/>
      <c r="C740" s="3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1"/>
      <c r="B741" s="2"/>
      <c r="C741" s="3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1"/>
      <c r="B742" s="2"/>
      <c r="C742" s="3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1"/>
      <c r="B743" s="2"/>
      <c r="C743" s="3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1"/>
      <c r="B744" s="2"/>
      <c r="C744" s="3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1"/>
      <c r="B745" s="2"/>
      <c r="C745" s="3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1"/>
      <c r="B746" s="2"/>
      <c r="C746" s="3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1"/>
      <c r="B747" s="2"/>
      <c r="C747" s="3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1"/>
      <c r="B748" s="2"/>
      <c r="C748" s="3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1"/>
      <c r="B749" s="2"/>
      <c r="C749" s="3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1"/>
      <c r="B750" s="2"/>
      <c r="C750" s="3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1"/>
      <c r="B751" s="2"/>
      <c r="C751" s="3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1"/>
      <c r="B752" s="2"/>
      <c r="C752" s="3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1"/>
      <c r="B753" s="2"/>
      <c r="C753" s="3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1"/>
      <c r="B754" s="2"/>
      <c r="C754" s="3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1"/>
      <c r="B755" s="2"/>
      <c r="C755" s="3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1"/>
      <c r="B756" s="2"/>
      <c r="C756" s="3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1"/>
      <c r="B757" s="2"/>
      <c r="C757" s="3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1"/>
      <c r="B758" s="2"/>
      <c r="C758" s="3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1"/>
      <c r="B759" s="2"/>
      <c r="C759" s="3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1"/>
      <c r="B760" s="2"/>
      <c r="C760" s="3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1"/>
      <c r="B761" s="2"/>
      <c r="C761" s="3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1"/>
      <c r="B762" s="2"/>
      <c r="C762" s="3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1"/>
      <c r="B763" s="2"/>
      <c r="C763" s="3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1"/>
      <c r="B764" s="2"/>
      <c r="C764" s="3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1"/>
      <c r="B765" s="2"/>
      <c r="C765" s="3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1"/>
      <c r="B766" s="2"/>
      <c r="C766" s="3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1"/>
      <c r="B767" s="2"/>
      <c r="C767" s="3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1"/>
      <c r="B768" s="2"/>
      <c r="C768" s="3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1"/>
      <c r="B769" s="2"/>
      <c r="C769" s="3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1"/>
      <c r="B770" s="2"/>
      <c r="C770" s="3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1"/>
      <c r="B771" s="2"/>
      <c r="C771" s="3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1"/>
      <c r="B772" s="2"/>
      <c r="C772" s="3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1"/>
      <c r="B773" s="2"/>
      <c r="C773" s="3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1"/>
      <c r="B774" s="2"/>
      <c r="C774" s="3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1"/>
      <c r="B775" s="2"/>
      <c r="C775" s="3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1"/>
      <c r="B776" s="2"/>
      <c r="C776" s="3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1"/>
      <c r="B777" s="2"/>
      <c r="C777" s="3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1"/>
      <c r="B778" s="2"/>
      <c r="C778" s="3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1"/>
      <c r="B779" s="2"/>
      <c r="C779" s="3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1"/>
      <c r="B780" s="2"/>
      <c r="C780" s="3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1"/>
      <c r="B781" s="2"/>
      <c r="C781" s="3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1"/>
      <c r="B782" s="2"/>
      <c r="C782" s="3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1"/>
      <c r="B783" s="2"/>
      <c r="C783" s="3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1"/>
      <c r="B784" s="2"/>
      <c r="C784" s="3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1"/>
      <c r="B785" s="2"/>
      <c r="C785" s="3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1"/>
      <c r="B786" s="2"/>
      <c r="C786" s="3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1"/>
      <c r="B787" s="2"/>
      <c r="C787" s="3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1"/>
      <c r="B788" s="2"/>
      <c r="C788" s="3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1"/>
      <c r="B789" s="2"/>
      <c r="C789" s="3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1"/>
      <c r="B790" s="2"/>
      <c r="C790" s="3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1"/>
      <c r="B791" s="2"/>
      <c r="C791" s="3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1"/>
      <c r="B792" s="2"/>
      <c r="C792" s="3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1"/>
      <c r="B793" s="2"/>
      <c r="C793" s="3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1"/>
      <c r="B794" s="2"/>
      <c r="C794" s="3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1"/>
      <c r="B795" s="2"/>
      <c r="C795" s="3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1"/>
      <c r="B796" s="2"/>
      <c r="C796" s="3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1"/>
      <c r="B797" s="2"/>
      <c r="C797" s="3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1"/>
      <c r="B798" s="2"/>
      <c r="C798" s="3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1"/>
      <c r="B799" s="2"/>
      <c r="C799" s="3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1"/>
      <c r="B800" s="2"/>
      <c r="C800" s="3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1"/>
      <c r="B801" s="2"/>
      <c r="C801" s="3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1"/>
      <c r="B802" s="2"/>
      <c r="C802" s="3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1"/>
      <c r="B803" s="2"/>
      <c r="C803" s="3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1"/>
      <c r="B804" s="2"/>
      <c r="C804" s="3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1"/>
      <c r="B805" s="2"/>
      <c r="C805" s="3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1"/>
      <c r="B806" s="2"/>
      <c r="C806" s="3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1"/>
      <c r="B807" s="2"/>
      <c r="C807" s="3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1"/>
      <c r="B808" s="2"/>
      <c r="C808" s="3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1"/>
      <c r="B809" s="2"/>
      <c r="C809" s="3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1"/>
      <c r="B810" s="2"/>
      <c r="C810" s="3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1"/>
      <c r="B811" s="2"/>
      <c r="C811" s="3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1"/>
      <c r="B812" s="2"/>
      <c r="C812" s="3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1"/>
      <c r="B813" s="2"/>
      <c r="C813" s="3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1"/>
      <c r="B814" s="2"/>
      <c r="C814" s="3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1"/>
      <c r="B815" s="2"/>
      <c r="C815" s="3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1"/>
      <c r="B816" s="2"/>
      <c r="C816" s="3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1"/>
      <c r="B817" s="2"/>
      <c r="C817" s="3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1"/>
      <c r="B818" s="2"/>
      <c r="C818" s="3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1"/>
      <c r="B819" s="2"/>
      <c r="C819" s="3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1"/>
      <c r="B820" s="2"/>
      <c r="C820" s="3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1"/>
      <c r="B821" s="2"/>
      <c r="C821" s="3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1"/>
      <c r="B822" s="2"/>
      <c r="C822" s="3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1"/>
      <c r="B823" s="2"/>
      <c r="C823" s="3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1"/>
      <c r="B824" s="2"/>
      <c r="C824" s="3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1"/>
      <c r="B825" s="2"/>
      <c r="C825" s="3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1"/>
      <c r="B826" s="2"/>
      <c r="C826" s="3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1"/>
      <c r="B827" s="2"/>
      <c r="C827" s="3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1"/>
      <c r="B828" s="2"/>
      <c r="C828" s="3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1"/>
      <c r="B829" s="2"/>
      <c r="C829" s="3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1"/>
      <c r="B830" s="2"/>
      <c r="C830" s="3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1"/>
      <c r="B831" s="2"/>
      <c r="C831" s="3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1"/>
      <c r="B832" s="2"/>
      <c r="C832" s="3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1"/>
      <c r="B833" s="2"/>
      <c r="C833" s="3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1"/>
      <c r="B834" s="2"/>
      <c r="C834" s="3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1"/>
      <c r="B835" s="2"/>
      <c r="C835" s="3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1"/>
      <c r="B836" s="2"/>
      <c r="C836" s="3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1"/>
      <c r="B837" s="2"/>
      <c r="C837" s="3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1"/>
      <c r="B838" s="2"/>
      <c r="C838" s="3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1"/>
      <c r="B839" s="2"/>
      <c r="C839" s="3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1"/>
      <c r="B840" s="2"/>
      <c r="C840" s="3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1"/>
      <c r="B841" s="2"/>
      <c r="C841" s="3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1"/>
      <c r="B842" s="2"/>
      <c r="C842" s="3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1"/>
      <c r="B843" s="2"/>
      <c r="C843" s="3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1"/>
      <c r="B844" s="2"/>
      <c r="C844" s="3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1"/>
      <c r="B845" s="2"/>
      <c r="C845" s="3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1"/>
      <c r="B846" s="2"/>
      <c r="C846" s="3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1"/>
      <c r="B847" s="2"/>
      <c r="C847" s="3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1"/>
      <c r="B848" s="2"/>
      <c r="C848" s="3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1"/>
      <c r="B849" s="2"/>
      <c r="C849" s="3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1"/>
      <c r="B850" s="2"/>
      <c r="C850" s="3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1"/>
      <c r="B851" s="2"/>
      <c r="C851" s="3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1"/>
      <c r="B852" s="2"/>
      <c r="C852" s="3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1"/>
      <c r="B853" s="2"/>
      <c r="C853" s="3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1"/>
      <c r="B854" s="2"/>
      <c r="C854" s="3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1"/>
      <c r="B855" s="2"/>
      <c r="C855" s="3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1"/>
      <c r="B856" s="2"/>
      <c r="C856" s="3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1"/>
      <c r="B857" s="2"/>
      <c r="C857" s="3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1"/>
      <c r="B858" s="2"/>
      <c r="C858" s="3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1"/>
      <c r="B859" s="2"/>
      <c r="C859" s="3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1"/>
      <c r="B860" s="2"/>
      <c r="C860" s="3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1"/>
      <c r="B861" s="2"/>
      <c r="C861" s="3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1"/>
      <c r="B862" s="2"/>
      <c r="C862" s="3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1"/>
      <c r="B863" s="2"/>
      <c r="C863" s="3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1"/>
      <c r="B864" s="2"/>
      <c r="C864" s="3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1"/>
      <c r="B865" s="2"/>
      <c r="C865" s="3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1"/>
      <c r="B866" s="2"/>
      <c r="C866" s="3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1"/>
      <c r="B867" s="2"/>
      <c r="C867" s="3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1"/>
      <c r="B868" s="2"/>
      <c r="C868" s="3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1"/>
      <c r="B869" s="2"/>
      <c r="C869" s="3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1"/>
      <c r="B870" s="2"/>
      <c r="C870" s="3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1"/>
      <c r="B871" s="2"/>
      <c r="C871" s="3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1"/>
      <c r="B872" s="2"/>
      <c r="C872" s="3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1"/>
      <c r="B873" s="2"/>
      <c r="C873" s="3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1"/>
      <c r="B874" s="2"/>
      <c r="C874" s="3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1"/>
      <c r="B875" s="2"/>
      <c r="C875" s="3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1"/>
      <c r="B876" s="2"/>
      <c r="C876" s="3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1"/>
      <c r="B877" s="2"/>
      <c r="C877" s="3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1"/>
      <c r="B878" s="2"/>
      <c r="C878" s="3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1"/>
      <c r="B879" s="2"/>
      <c r="C879" s="3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1"/>
      <c r="B880" s="2"/>
      <c r="C880" s="3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1"/>
      <c r="B881" s="2"/>
      <c r="C881" s="3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1"/>
      <c r="B882" s="2"/>
      <c r="C882" s="3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1"/>
      <c r="B883" s="2"/>
      <c r="C883" s="3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1"/>
      <c r="B884" s="2"/>
      <c r="C884" s="3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1"/>
      <c r="B885" s="2"/>
      <c r="C885" s="3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1"/>
      <c r="B886" s="2"/>
      <c r="C886" s="3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1"/>
      <c r="B887" s="2"/>
      <c r="C887" s="3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1"/>
      <c r="B888" s="2"/>
      <c r="C888" s="3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1"/>
      <c r="B889" s="2"/>
      <c r="C889" s="3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1"/>
      <c r="B890" s="2"/>
      <c r="C890" s="3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1"/>
      <c r="B891" s="2"/>
      <c r="C891" s="3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1"/>
      <c r="B892" s="2"/>
      <c r="C892" s="3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1"/>
      <c r="B893" s="2"/>
      <c r="C893" s="3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1"/>
      <c r="B894" s="2"/>
      <c r="C894" s="3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1"/>
      <c r="B895" s="2"/>
      <c r="C895" s="3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1"/>
      <c r="B896" s="2"/>
      <c r="C896" s="3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1"/>
      <c r="B897" s="2"/>
      <c r="C897" s="3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1"/>
      <c r="B898" s="2"/>
      <c r="C898" s="3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1"/>
      <c r="B899" s="2"/>
      <c r="C899" s="3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1"/>
      <c r="B900" s="2"/>
      <c r="C900" s="3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1"/>
      <c r="B901" s="2"/>
      <c r="C901" s="3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1"/>
      <c r="B902" s="2"/>
      <c r="C902" s="3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1"/>
      <c r="B903" s="2"/>
      <c r="C903" s="3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1"/>
      <c r="B904" s="2"/>
      <c r="C904" s="3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1"/>
      <c r="B905" s="2"/>
      <c r="C905" s="3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1"/>
      <c r="B906" s="2"/>
      <c r="C906" s="3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1"/>
      <c r="B907" s="2"/>
      <c r="C907" s="3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1"/>
      <c r="B908" s="2"/>
      <c r="C908" s="3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1"/>
      <c r="B909" s="2"/>
      <c r="C909" s="3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1"/>
      <c r="B910" s="2"/>
      <c r="C910" s="3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1"/>
      <c r="B911" s="2"/>
      <c r="C911" s="3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1"/>
      <c r="B912" s="2"/>
      <c r="C912" s="3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1"/>
      <c r="B913" s="2"/>
      <c r="C913" s="3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1"/>
      <c r="B914" s="2"/>
      <c r="C914" s="3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1"/>
      <c r="B915" s="2"/>
      <c r="C915" s="3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1"/>
      <c r="B916" s="2"/>
      <c r="C916" s="3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1"/>
      <c r="B917" s="2"/>
      <c r="C917" s="3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1"/>
      <c r="B918" s="2"/>
      <c r="C918" s="3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1"/>
      <c r="B919" s="2"/>
      <c r="C919" s="3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1"/>
      <c r="B920" s="2"/>
      <c r="C920" s="3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1"/>
      <c r="B921" s="2"/>
      <c r="C921" s="3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1"/>
      <c r="B922" s="2"/>
      <c r="C922" s="3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1"/>
      <c r="B923" s="2"/>
      <c r="C923" s="3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1"/>
      <c r="B924" s="2"/>
      <c r="C924" s="3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1"/>
      <c r="B925" s="2"/>
      <c r="C925" s="3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1"/>
      <c r="B926" s="2"/>
      <c r="C926" s="3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1"/>
      <c r="B927" s="2"/>
      <c r="C927" s="3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1"/>
      <c r="B928" s="2"/>
      <c r="C928" s="3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1"/>
      <c r="B929" s="2"/>
      <c r="C929" s="3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1"/>
      <c r="B930" s="2"/>
      <c r="C930" s="3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1"/>
      <c r="B931" s="2"/>
      <c r="C931" s="3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1"/>
      <c r="B932" s="2"/>
      <c r="C932" s="3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1"/>
      <c r="B933" s="2"/>
      <c r="C933" s="3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1"/>
      <c r="B934" s="2"/>
      <c r="C934" s="3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1"/>
      <c r="B935" s="2"/>
      <c r="C935" s="3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1"/>
      <c r="B936" s="2"/>
      <c r="C936" s="3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1"/>
      <c r="B937" s="2"/>
      <c r="C937" s="3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1"/>
      <c r="B938" s="2"/>
      <c r="C938" s="3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1"/>
      <c r="B939" s="2"/>
      <c r="C939" s="3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1"/>
      <c r="B940" s="2"/>
      <c r="C940" s="3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1"/>
      <c r="B941" s="2"/>
      <c r="C941" s="3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1"/>
      <c r="B942" s="2"/>
      <c r="C942" s="3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1"/>
      <c r="B943" s="2"/>
      <c r="C943" s="3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1"/>
      <c r="B944" s="2"/>
      <c r="C944" s="3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1"/>
      <c r="B945" s="2"/>
      <c r="C945" s="3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1"/>
      <c r="B946" s="2"/>
      <c r="C946" s="3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1"/>
      <c r="B947" s="2"/>
      <c r="C947" s="3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1"/>
      <c r="B948" s="2"/>
      <c r="C948" s="3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1"/>
      <c r="B949" s="2"/>
      <c r="C949" s="3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1"/>
      <c r="B950" s="2"/>
      <c r="C950" s="3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1"/>
      <c r="B951" s="2"/>
      <c r="C951" s="3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1"/>
      <c r="B952" s="2"/>
      <c r="C952" s="3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1"/>
      <c r="B953" s="2"/>
      <c r="C953" s="3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1"/>
      <c r="B954" s="2"/>
      <c r="C954" s="3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1"/>
      <c r="B955" s="2"/>
      <c r="C955" s="3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1"/>
      <c r="B956" s="2"/>
      <c r="C956" s="3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1"/>
      <c r="B957" s="2"/>
      <c r="C957" s="3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1"/>
      <c r="B958" s="2"/>
      <c r="C958" s="3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1"/>
      <c r="B959" s="2"/>
      <c r="C959" s="3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1"/>
      <c r="B960" s="2"/>
      <c r="C960" s="3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1"/>
      <c r="B961" s="2"/>
      <c r="C961" s="3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1"/>
      <c r="B962" s="2"/>
      <c r="C962" s="3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1"/>
      <c r="B963" s="2"/>
      <c r="C963" s="3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1"/>
      <c r="B964" s="2"/>
      <c r="C964" s="3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1"/>
      <c r="B965" s="2"/>
      <c r="C965" s="3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1"/>
      <c r="B966" s="2"/>
      <c r="C966" s="3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1"/>
      <c r="B967" s="2"/>
      <c r="C967" s="3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1"/>
      <c r="B968" s="2"/>
      <c r="C968" s="3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1"/>
      <c r="B969" s="2"/>
      <c r="C969" s="3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1"/>
      <c r="B970" s="2"/>
      <c r="C970" s="3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1"/>
      <c r="B971" s="2"/>
      <c r="C971" s="3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1"/>
      <c r="B972" s="2"/>
      <c r="C972" s="3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1"/>
      <c r="B973" s="2"/>
      <c r="C973" s="3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1"/>
      <c r="B974" s="2"/>
      <c r="C974" s="3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1"/>
      <c r="B975" s="2"/>
      <c r="C975" s="3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1"/>
      <c r="B976" s="2"/>
      <c r="C976" s="3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1"/>
      <c r="B977" s="2"/>
      <c r="C977" s="3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1"/>
      <c r="B978" s="2"/>
      <c r="C978" s="3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1"/>
      <c r="B979" s="2"/>
      <c r="C979" s="3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1"/>
      <c r="B980" s="2"/>
      <c r="C980" s="3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1"/>
      <c r="B981" s="2"/>
      <c r="C981" s="3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1"/>
      <c r="B982" s="2"/>
      <c r="C982" s="3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1"/>
      <c r="B983" s="2"/>
      <c r="C983" s="3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1"/>
      <c r="B984" s="2"/>
      <c r="C984" s="3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1"/>
      <c r="B985" s="2"/>
      <c r="C985" s="3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1"/>
      <c r="B986" s="2"/>
      <c r="C986" s="3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1"/>
      <c r="B987" s="2"/>
      <c r="C987" s="3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1"/>
      <c r="B988" s="2"/>
      <c r="C988" s="3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1"/>
      <c r="B989" s="2"/>
      <c r="C989" s="3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1"/>
      <c r="B990" s="2"/>
      <c r="C990" s="3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1"/>
      <c r="B991" s="2"/>
      <c r="C991" s="3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1"/>
      <c r="B992" s="2"/>
      <c r="C992" s="3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1"/>
      <c r="B993" s="2"/>
      <c r="C993" s="3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1"/>
      <c r="B994" s="2"/>
      <c r="C994" s="3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1"/>
      <c r="B995" s="2"/>
      <c r="C995" s="3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1"/>
      <c r="B996" s="2"/>
      <c r="C996" s="3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1"/>
      <c r="B997" s="2"/>
      <c r="C997" s="3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1"/>
      <c r="B998" s="2"/>
      <c r="C998" s="3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1"/>
      <c r="B999" s="2"/>
      <c r="C999" s="3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1"/>
      <c r="B1000" s="2"/>
      <c r="C1000" s="3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>
      <c r="A1001" s="1"/>
      <c r="B1001" s="2"/>
      <c r="C1001" s="3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2">
    <mergeCell ref="B4:M4"/>
    <mergeCell ref="G8:J8"/>
  </mergeCells>
  <printOptions horizontalCentered="1"/>
  <pageMargins left="0.74" right="0.5" top="0.68" bottom="0.75" header="0" footer="0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/>
  </sheetViews>
  <sheetFormatPr defaultColWidth="14.42578125" defaultRowHeight="15" customHeight="1"/>
  <cols>
    <col min="1" max="26" width="8.7109375" customWidth="1"/>
  </cols>
  <sheetData>
    <row r="1" spans="1:6">
      <c r="A1" s="138" t="s">
        <v>133</v>
      </c>
      <c r="B1" s="138">
        <f>4.5/2*5.5/2*17</f>
        <v>105.1875</v>
      </c>
      <c r="C1" s="138">
        <v>200</v>
      </c>
      <c r="D1" s="138">
        <v>0.8</v>
      </c>
      <c r="E1" s="138">
        <v>0.8</v>
      </c>
      <c r="F1" s="138">
        <f t="shared" ref="F1:F5" si="0">C1*D1*E1</f>
        <v>128</v>
      </c>
    </row>
    <row r="2" spans="1:6">
      <c r="A2" s="138" t="s">
        <v>134</v>
      </c>
      <c r="B2" s="138">
        <f>1*5.5/2*17</f>
        <v>46.75</v>
      </c>
      <c r="C2" s="138">
        <v>200</v>
      </c>
      <c r="D2" s="138">
        <v>0.8</v>
      </c>
      <c r="E2" s="138">
        <v>0.8</v>
      </c>
      <c r="F2" s="138">
        <f t="shared" si="0"/>
        <v>128</v>
      </c>
    </row>
    <row r="3" spans="1:6">
      <c r="A3" s="138" t="s">
        <v>135</v>
      </c>
      <c r="B3" s="138">
        <f>(4.1/2)*5.5/2*2.5*17+4.5/2+5.5/2*17</f>
        <v>288.59375</v>
      </c>
      <c r="C3" s="138">
        <v>200</v>
      </c>
      <c r="D3" s="138">
        <f t="shared" ref="D3:D5" si="1">5.5/2</f>
        <v>2.75</v>
      </c>
      <c r="E3" s="138">
        <v>0.8</v>
      </c>
      <c r="F3" s="138">
        <f t="shared" si="0"/>
        <v>440</v>
      </c>
    </row>
    <row r="4" spans="1:6">
      <c r="A4" s="138" t="s">
        <v>136</v>
      </c>
      <c r="B4" s="138">
        <f>(4.1/2)*5.5/2*2.5*17+(1.735+4.165)/2*5.5/2*2.5*17</f>
        <v>584.375</v>
      </c>
      <c r="C4" s="138">
        <v>200</v>
      </c>
      <c r="D4" s="138">
        <f t="shared" si="1"/>
        <v>2.75</v>
      </c>
      <c r="E4" s="138">
        <v>1.2</v>
      </c>
      <c r="F4" s="138">
        <f t="shared" si="0"/>
        <v>660</v>
      </c>
    </row>
    <row r="5" spans="1:6">
      <c r="A5" s="138" t="s">
        <v>137</v>
      </c>
      <c r="B5" s="138">
        <f>+(1.735+4.165)/2*5.5/2*3*17+1*5.5/2*17</f>
        <v>460.48750000000001</v>
      </c>
      <c r="C5" s="138">
        <v>200</v>
      </c>
      <c r="D5" s="138">
        <f t="shared" si="1"/>
        <v>2.75</v>
      </c>
      <c r="E5" s="138">
        <v>1</v>
      </c>
      <c r="F5" s="138">
        <f t="shared" si="0"/>
        <v>550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NC4-MT-5.5x10</vt:lpstr>
      <vt:lpstr>DL mong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Pham Minh Anh</cp:lastModifiedBy>
  <dcterms:modified xsi:type="dcterms:W3CDTF">2023-06-02T08:17:22Z</dcterms:modified>
</cp:coreProperties>
</file>